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10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BTSZ\Documents\2025. év\Versenyek\Korosztályos bajnokság\"/>
    </mc:Choice>
  </mc:AlternateContent>
  <bookViews>
    <workbookView xWindow="-105" yWindow="-105" windowWidth="23250" windowHeight="13170" tabRatio="884" activeTab="10"/>
  </bookViews>
  <sheets>
    <sheet name="Altalanos" sheetId="1" r:id="rId1"/>
    <sheet name="Birók" sheetId="2" r:id="rId2"/>
    <sheet name="F12 csapat ELO" sheetId="9" state="hidden" r:id="rId3"/>
    <sheet name="F12 csapat" sheetId="85" r:id="rId4"/>
    <sheet name="F12csapat vigasz" sheetId="238" r:id="rId5"/>
    <sheet name="F14 csapat ELO" sheetId="231" state="hidden" r:id="rId6"/>
    <sheet name="F14 csapat" sheetId="239" r:id="rId7"/>
    <sheet name="F16 csapat ELO" sheetId="279" state="hidden" r:id="rId8"/>
    <sheet name="F16 csapat" sheetId="287" r:id="rId9"/>
    <sheet name="F18 csapat ELO" sheetId="303" state="hidden" r:id="rId10"/>
    <sheet name="Fiú 18 csapat" sheetId="311" r:id="rId1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csapat ELO'!$1:$6</definedName>
    <definedName name="_xlnm.Print_Titles" localSheetId="5">'F14 csapat ELO'!$1:$6</definedName>
    <definedName name="_xlnm.Print_Titles" localSheetId="7">'F16 csapat ELO'!$1:$6</definedName>
    <definedName name="_xlnm.Print_Titles" localSheetId="9">'F18 csapat ELO'!$1:$6</definedName>
    <definedName name="_xlnm.Print_Area" localSheetId="1">Birók!$A$1:$N$29</definedName>
    <definedName name="_xlnm.Print_Area" localSheetId="3">'F12 csapat'!$A$1:$R$62</definedName>
    <definedName name="_xlnm.Print_Area" localSheetId="2">'F12 csapat ELO'!$A$1:$Q$134</definedName>
    <definedName name="_xlnm.Print_Area" localSheetId="4">'F12csapat vigasz'!$A$1:$R$62</definedName>
    <definedName name="_xlnm.Print_Area" localSheetId="6">'F14 csapat'!$A$1:$R$57</definedName>
    <definedName name="_xlnm.Print_Area" localSheetId="5">'F14 csapat ELO'!$A$1:$Q$134</definedName>
    <definedName name="_xlnm.Print_Area" localSheetId="8">'F16 csapat'!$A$1:$R$57</definedName>
    <definedName name="_xlnm.Print_Area" localSheetId="7">'F16 csapat ELO'!$A$1:$Q$134</definedName>
    <definedName name="_xlnm.Print_Area" localSheetId="9">'F18 csapat ELO'!$A$1:$Q$134</definedName>
    <definedName name="_xlnm.Print_Area" localSheetId="10">'Fiú 18 csapat'!$A$1:$R$57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11" l="1"/>
  <c r="C2" i="303"/>
  <c r="R57" i="311"/>
  <c r="F53" i="311"/>
  <c r="F51" i="311"/>
  <c r="F50" i="311"/>
  <c r="I37" i="311"/>
  <c r="G37" i="311"/>
  <c r="F37" i="311"/>
  <c r="D37" i="311"/>
  <c r="C37" i="311"/>
  <c r="B37" i="311"/>
  <c r="K36" i="311"/>
  <c r="M34" i="311" s="1"/>
  <c r="O30" i="311" s="1"/>
  <c r="Q22" i="311" s="1"/>
  <c r="I35" i="311"/>
  <c r="G35" i="311"/>
  <c r="F35" i="311"/>
  <c r="D35" i="311"/>
  <c r="C35" i="311"/>
  <c r="B35" i="311"/>
  <c r="I33" i="311"/>
  <c r="G33" i="311"/>
  <c r="F33" i="311"/>
  <c r="D33" i="311"/>
  <c r="C33" i="311"/>
  <c r="B33" i="311"/>
  <c r="K32" i="311"/>
  <c r="I31" i="311"/>
  <c r="G31" i="311"/>
  <c r="F31" i="311"/>
  <c r="D31" i="311"/>
  <c r="C31" i="311"/>
  <c r="B31" i="311"/>
  <c r="I29" i="311"/>
  <c r="G29" i="311"/>
  <c r="F29" i="311"/>
  <c r="D29" i="311"/>
  <c r="C29" i="311"/>
  <c r="B29" i="311"/>
  <c r="I27" i="311"/>
  <c r="G27" i="311"/>
  <c r="F27" i="311"/>
  <c r="K28" i="311" s="1"/>
  <c r="M26" i="311" s="1"/>
  <c r="D27" i="311"/>
  <c r="C27" i="311"/>
  <c r="B27" i="311"/>
  <c r="I25" i="311"/>
  <c r="G25" i="311"/>
  <c r="F25" i="311"/>
  <c r="D25" i="311"/>
  <c r="C25" i="311"/>
  <c r="B25" i="311"/>
  <c r="K24" i="311"/>
  <c r="I23" i="311"/>
  <c r="G23" i="311"/>
  <c r="F23" i="311"/>
  <c r="D23" i="311"/>
  <c r="C23" i="311"/>
  <c r="B23" i="311"/>
  <c r="I21" i="311"/>
  <c r="G21" i="311"/>
  <c r="F21" i="311"/>
  <c r="D21" i="311"/>
  <c r="C21" i="311"/>
  <c r="B21" i="311"/>
  <c r="I19" i="311"/>
  <c r="G19" i="311"/>
  <c r="F19" i="311"/>
  <c r="K20" i="311" s="1"/>
  <c r="M18" i="311" s="1"/>
  <c r="D19" i="311"/>
  <c r="C19" i="311"/>
  <c r="B19" i="311"/>
  <c r="I17" i="311"/>
  <c r="G17" i="311"/>
  <c r="F17" i="311"/>
  <c r="D17" i="311"/>
  <c r="C17" i="311"/>
  <c r="B17" i="311"/>
  <c r="U16" i="311"/>
  <c r="I15" i="311"/>
  <c r="G15" i="311"/>
  <c r="F15" i="311"/>
  <c r="K16" i="311" s="1"/>
  <c r="D15" i="311"/>
  <c r="C15" i="311"/>
  <c r="B15" i="311"/>
  <c r="O14" i="311"/>
  <c r="I13" i="311"/>
  <c r="G13" i="311"/>
  <c r="F13" i="311"/>
  <c r="D13" i="311"/>
  <c r="C13" i="311"/>
  <c r="B13" i="311"/>
  <c r="K12" i="311"/>
  <c r="I11" i="311"/>
  <c r="G11" i="311"/>
  <c r="F11" i="311"/>
  <c r="D11" i="311"/>
  <c r="C11" i="311"/>
  <c r="B11" i="311"/>
  <c r="I9" i="311"/>
  <c r="G9" i="311"/>
  <c r="F9" i="311"/>
  <c r="D9" i="311"/>
  <c r="C9" i="311"/>
  <c r="B9" i="311"/>
  <c r="U7" i="311"/>
  <c r="I7" i="311"/>
  <c r="G7" i="311"/>
  <c r="F7" i="311"/>
  <c r="K8" i="311" s="1"/>
  <c r="M10" i="311" s="1"/>
  <c r="D7" i="311"/>
  <c r="C7" i="311"/>
  <c r="B7" i="311"/>
  <c r="Y5" i="311"/>
  <c r="R4" i="311"/>
  <c r="O57" i="311" s="1"/>
  <c r="G4" i="311"/>
  <c r="A4" i="311"/>
  <c r="Y3" i="311"/>
  <c r="Q6" i="311" s="1"/>
  <c r="A1" i="311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7"/>
  <c r="C2" i="279"/>
  <c r="R57" i="287"/>
  <c r="F50" i="287" s="1"/>
  <c r="F53" i="287"/>
  <c r="I37" i="287"/>
  <c r="G37" i="287"/>
  <c r="F37" i="287"/>
  <c r="D37" i="287"/>
  <c r="C37" i="287"/>
  <c r="B37" i="287"/>
  <c r="K36" i="287"/>
  <c r="M34" i="287" s="1"/>
  <c r="O30" i="287" s="1"/>
  <c r="Q22" i="287" s="1"/>
  <c r="I35" i="287"/>
  <c r="G35" i="287"/>
  <c r="F35" i="287"/>
  <c r="D35" i="287"/>
  <c r="C35" i="287"/>
  <c r="B35" i="287"/>
  <c r="I33" i="287"/>
  <c r="G33" i="287"/>
  <c r="F33" i="287"/>
  <c r="D33" i="287"/>
  <c r="C33" i="287"/>
  <c r="B33" i="287"/>
  <c r="I31" i="287"/>
  <c r="G31" i="287"/>
  <c r="F31" i="287"/>
  <c r="K32" i="287" s="1"/>
  <c r="D31" i="287"/>
  <c r="C31" i="287"/>
  <c r="B31" i="287"/>
  <c r="I29" i="287"/>
  <c r="G29" i="287"/>
  <c r="F29" i="287"/>
  <c r="D29" i="287"/>
  <c r="C29" i="287"/>
  <c r="B29" i="287"/>
  <c r="K28" i="287"/>
  <c r="M26" i="287" s="1"/>
  <c r="I27" i="287"/>
  <c r="G27" i="287"/>
  <c r="F27" i="287"/>
  <c r="D27" i="287"/>
  <c r="C27" i="287"/>
  <c r="B27" i="287"/>
  <c r="I25" i="287"/>
  <c r="G25" i="287"/>
  <c r="F25" i="287"/>
  <c r="D25" i="287"/>
  <c r="C25" i="287"/>
  <c r="B25" i="287"/>
  <c r="I23" i="287"/>
  <c r="G23" i="287"/>
  <c r="F23" i="287"/>
  <c r="K24" i="287" s="1"/>
  <c r="D23" i="287"/>
  <c r="C23" i="287"/>
  <c r="B23" i="287"/>
  <c r="I21" i="287"/>
  <c r="G21" i="287"/>
  <c r="F21" i="287"/>
  <c r="D21" i="287"/>
  <c r="C21" i="287"/>
  <c r="B21" i="287"/>
  <c r="K20" i="287"/>
  <c r="I19" i="287"/>
  <c r="G19" i="287"/>
  <c r="F19" i="287"/>
  <c r="D19" i="287"/>
  <c r="C19" i="287"/>
  <c r="B19" i="287"/>
  <c r="I17" i="287"/>
  <c r="G17" i="287"/>
  <c r="F17" i="287"/>
  <c r="D17" i="287"/>
  <c r="C17" i="287"/>
  <c r="B17" i="287"/>
  <c r="U16" i="287"/>
  <c r="K16" i="287"/>
  <c r="M18" i="287" s="1"/>
  <c r="O14" i="287" s="1"/>
  <c r="I15" i="287"/>
  <c r="G15" i="287"/>
  <c r="F15" i="287"/>
  <c r="D15" i="287"/>
  <c r="C15" i="287"/>
  <c r="B15" i="287"/>
  <c r="I13" i="287"/>
  <c r="G13" i="287"/>
  <c r="F13" i="287"/>
  <c r="D13" i="287"/>
  <c r="C13" i="287"/>
  <c r="B13" i="287"/>
  <c r="I11" i="287"/>
  <c r="G11" i="287"/>
  <c r="F11" i="287"/>
  <c r="K12" i="287" s="1"/>
  <c r="D11" i="287"/>
  <c r="C11" i="287"/>
  <c r="B11" i="287"/>
  <c r="I9" i="287"/>
  <c r="G9" i="287"/>
  <c r="F9" i="287"/>
  <c r="D9" i="287"/>
  <c r="C9" i="287"/>
  <c r="B9" i="287"/>
  <c r="U7" i="287"/>
  <c r="I7" i="287"/>
  <c r="G7" i="287"/>
  <c r="F7" i="287"/>
  <c r="K8" i="287" s="1"/>
  <c r="M10" i="287" s="1"/>
  <c r="D7" i="287"/>
  <c r="C7" i="287"/>
  <c r="B7" i="287"/>
  <c r="Y5" i="287"/>
  <c r="AF1" i="287" s="1"/>
  <c r="AH1" i="287"/>
  <c r="R4" i="287"/>
  <c r="O57" i="287"/>
  <c r="G4" i="287"/>
  <c r="A4" i="287"/>
  <c r="Y3" i="287"/>
  <c r="Q6" i="287"/>
  <c r="A1" i="287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9"/>
  <c r="C2" i="231"/>
  <c r="R57" i="239"/>
  <c r="F51" i="239" s="1"/>
  <c r="F53" i="239"/>
  <c r="F50" i="239"/>
  <c r="I37" i="239"/>
  <c r="G37" i="239"/>
  <c r="F37" i="239"/>
  <c r="D37" i="239"/>
  <c r="C37" i="239"/>
  <c r="B37" i="239"/>
  <c r="K36" i="239"/>
  <c r="M34" i="239" s="1"/>
  <c r="O30" i="239" s="1"/>
  <c r="I35" i="239"/>
  <c r="G35" i="239"/>
  <c r="D35" i="239"/>
  <c r="C35" i="239"/>
  <c r="B35" i="239"/>
  <c r="I33" i="239"/>
  <c r="G33" i="239"/>
  <c r="F33" i="239"/>
  <c r="D33" i="239"/>
  <c r="C33" i="239"/>
  <c r="B33" i="239"/>
  <c r="K32" i="239"/>
  <c r="I31" i="239"/>
  <c r="G31" i="239"/>
  <c r="D31" i="239"/>
  <c r="C31" i="239"/>
  <c r="B31" i="239"/>
  <c r="I29" i="239"/>
  <c r="G29" i="239"/>
  <c r="F29" i="239"/>
  <c r="D29" i="239"/>
  <c r="C29" i="239"/>
  <c r="B29" i="239"/>
  <c r="K28" i="239"/>
  <c r="M26" i="239" s="1"/>
  <c r="I27" i="239"/>
  <c r="G27" i="239"/>
  <c r="F27" i="239"/>
  <c r="D27" i="239"/>
  <c r="C27" i="239"/>
  <c r="B27" i="239"/>
  <c r="I25" i="239"/>
  <c r="G25" i="239"/>
  <c r="F25" i="239"/>
  <c r="D25" i="239"/>
  <c r="C25" i="239"/>
  <c r="B25" i="239"/>
  <c r="K24" i="239"/>
  <c r="I23" i="239"/>
  <c r="G23" i="239"/>
  <c r="F23" i="239"/>
  <c r="D23" i="239"/>
  <c r="C23" i="239"/>
  <c r="B23" i="239"/>
  <c r="I21" i="239"/>
  <c r="G21" i="239"/>
  <c r="F21" i="239"/>
  <c r="D21" i="239"/>
  <c r="C21" i="239"/>
  <c r="B21" i="239"/>
  <c r="K20" i="239"/>
  <c r="I19" i="239"/>
  <c r="G19" i="239"/>
  <c r="D19" i="239"/>
  <c r="C19" i="239"/>
  <c r="B19" i="239"/>
  <c r="I17" i="239"/>
  <c r="G17" i="239"/>
  <c r="D17" i="239"/>
  <c r="C17" i="239"/>
  <c r="B17" i="239"/>
  <c r="U16" i="239"/>
  <c r="I15" i="239"/>
  <c r="G15" i="239"/>
  <c r="F15" i="239"/>
  <c r="K16" i="239" s="1"/>
  <c r="M18" i="239" s="1"/>
  <c r="D15" i="239"/>
  <c r="C15" i="239"/>
  <c r="B15" i="239"/>
  <c r="I13" i="239"/>
  <c r="G13" i="239"/>
  <c r="F13" i="239"/>
  <c r="D13" i="239"/>
  <c r="C13" i="239"/>
  <c r="B13" i="239"/>
  <c r="K12" i="239"/>
  <c r="I11" i="239"/>
  <c r="G11" i="239"/>
  <c r="F11" i="239"/>
  <c r="D11" i="239"/>
  <c r="C11" i="239"/>
  <c r="B11" i="239"/>
  <c r="M10" i="239"/>
  <c r="O14" i="239" s="1"/>
  <c r="Q22" i="239" s="1"/>
  <c r="I9" i="239"/>
  <c r="G9" i="239"/>
  <c r="D9" i="239"/>
  <c r="C9" i="239"/>
  <c r="B9" i="239"/>
  <c r="U7" i="239"/>
  <c r="I7" i="239"/>
  <c r="G7" i="239"/>
  <c r="F7" i="239"/>
  <c r="K8" i="239" s="1"/>
  <c r="D7" i="239"/>
  <c r="C7" i="239"/>
  <c r="B7" i="239"/>
  <c r="Y5" i="239"/>
  <c r="R4" i="239"/>
  <c r="O57" i="239" s="1"/>
  <c r="G4" i="239"/>
  <c r="A4" i="239"/>
  <c r="Y3" i="239"/>
  <c r="A1" i="239"/>
  <c r="R62" i="238"/>
  <c r="F56" i="238" s="1"/>
  <c r="F55" i="238"/>
  <c r="I21" i="238"/>
  <c r="G21" i="238"/>
  <c r="F21" i="238"/>
  <c r="D21" i="238"/>
  <c r="C21" i="238"/>
  <c r="B21" i="238"/>
  <c r="K20" i="238"/>
  <c r="I19" i="238"/>
  <c r="G19" i="238"/>
  <c r="D19" i="238"/>
  <c r="C19" i="238"/>
  <c r="B19" i="238"/>
  <c r="I17" i="238"/>
  <c r="G17" i="238"/>
  <c r="F17" i="238"/>
  <c r="D17" i="238"/>
  <c r="C17" i="238"/>
  <c r="B17" i="238"/>
  <c r="U16" i="238"/>
  <c r="K16" i="238"/>
  <c r="M18" i="238"/>
  <c r="I15" i="238"/>
  <c r="G15" i="238"/>
  <c r="D15" i="238"/>
  <c r="C15" i="238"/>
  <c r="B15" i="238"/>
  <c r="I13" i="238"/>
  <c r="G13" i="238"/>
  <c r="D13" i="238"/>
  <c r="C13" i="238"/>
  <c r="B13" i="238"/>
  <c r="K12" i="238"/>
  <c r="I11" i="238"/>
  <c r="G11" i="238"/>
  <c r="F11" i="238"/>
  <c r="D11" i="238"/>
  <c r="C11" i="238"/>
  <c r="B11" i="238"/>
  <c r="I9" i="238"/>
  <c r="G9" i="238"/>
  <c r="D9" i="238"/>
  <c r="C9" i="238"/>
  <c r="B9" i="238"/>
  <c r="K8" i="238"/>
  <c r="M10" i="238" s="1"/>
  <c r="O14" i="238" s="1"/>
  <c r="U7" i="238"/>
  <c r="I7" i="238"/>
  <c r="G7" i="238"/>
  <c r="F7" i="238"/>
  <c r="D7" i="238"/>
  <c r="C7" i="238"/>
  <c r="B7" i="238"/>
  <c r="Y5" i="238"/>
  <c r="AG1" i="238" s="1"/>
  <c r="R4" i="238"/>
  <c r="O62" i="238" s="1"/>
  <c r="G4" i="238"/>
  <c r="A4" i="238"/>
  <c r="Y3" i="238"/>
  <c r="A1" i="238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/>
  <c r="L86" i="231"/>
  <c r="K86" i="231"/>
  <c r="J86" i="231"/>
  <c r="P85" i="231"/>
  <c r="M85" i="23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9" i="85"/>
  <c r="C5" i="9"/>
  <c r="D5" i="9"/>
  <c r="H5" i="9"/>
  <c r="P22" i="2"/>
  <c r="U8" i="85" s="1"/>
  <c r="P23" i="2"/>
  <c r="U9" i="239" s="1"/>
  <c r="P24" i="2"/>
  <c r="U10" i="239" s="1"/>
  <c r="P25" i="2"/>
  <c r="P26" i="2"/>
  <c r="U12" i="85" s="1"/>
  <c r="P27" i="2"/>
  <c r="U13" i="85" s="1"/>
  <c r="P28" i="2"/>
  <c r="P29" i="2"/>
  <c r="U15" i="238" s="1"/>
  <c r="Y3" i="85"/>
  <c r="K6" i="85" s="1"/>
  <c r="Y5" i="85"/>
  <c r="AD1" i="85" s="1"/>
  <c r="F6" i="85"/>
  <c r="AH1" i="85"/>
  <c r="R62" i="85"/>
  <c r="F56" i="85" s="1"/>
  <c r="R4" i="85"/>
  <c r="O62" i="85"/>
  <c r="F55" i="85"/>
  <c r="I21" i="85"/>
  <c r="G21" i="85"/>
  <c r="F21" i="85"/>
  <c r="D21" i="85"/>
  <c r="C21" i="85"/>
  <c r="B21" i="85"/>
  <c r="K20" i="85"/>
  <c r="M18" i="85" s="1"/>
  <c r="O14" i="85" s="1"/>
  <c r="I19" i="85"/>
  <c r="G19" i="85"/>
  <c r="F19" i="85"/>
  <c r="D19" i="85"/>
  <c r="C19" i="85"/>
  <c r="B19" i="85"/>
  <c r="I17" i="85"/>
  <c r="G17" i="85"/>
  <c r="F17" i="85"/>
  <c r="K16" i="85" s="1"/>
  <c r="D17" i="85"/>
  <c r="C17" i="85"/>
  <c r="B17" i="85"/>
  <c r="U16" i="85"/>
  <c r="U15" i="85"/>
  <c r="I15" i="85"/>
  <c r="G15" i="85"/>
  <c r="F15" i="85"/>
  <c r="D15" i="85"/>
  <c r="C15" i="85"/>
  <c r="B15" i="85"/>
  <c r="U14" i="85"/>
  <c r="I13" i="85"/>
  <c r="G13" i="85"/>
  <c r="F13" i="85"/>
  <c r="D13" i="85"/>
  <c r="C13" i="85"/>
  <c r="B13" i="85"/>
  <c r="U11" i="85"/>
  <c r="I11" i="85"/>
  <c r="G11" i="85"/>
  <c r="F11" i="85"/>
  <c r="K12" i="85" s="1"/>
  <c r="D11" i="85"/>
  <c r="C11" i="85"/>
  <c r="B11" i="85"/>
  <c r="U9" i="85"/>
  <c r="G9" i="85"/>
  <c r="F9" i="85"/>
  <c r="D9" i="85"/>
  <c r="C9" i="85"/>
  <c r="B9" i="85"/>
  <c r="U7" i="85"/>
  <c r="I7" i="85"/>
  <c r="G7" i="85"/>
  <c r="F7" i="85"/>
  <c r="K8" i="85" s="1"/>
  <c r="M10" i="85" s="1"/>
  <c r="D7" i="85"/>
  <c r="C7" i="85"/>
  <c r="B7" i="85"/>
  <c r="G4" i="85"/>
  <c r="A4" i="85"/>
  <c r="E2" i="85"/>
  <c r="A1" i="85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/>
  <c r="A1" i="9"/>
  <c r="F6" i="239"/>
  <c r="K6" i="239"/>
  <c r="M6" i="239"/>
  <c r="O6" i="239"/>
  <c r="U9" i="238"/>
  <c r="U9" i="287"/>
  <c r="F6" i="311"/>
  <c r="K6" i="311"/>
  <c r="M6" i="311"/>
  <c r="O6" i="311"/>
  <c r="F6" i="287"/>
  <c r="K6" i="287"/>
  <c r="M6" i="287"/>
  <c r="O6" i="287"/>
  <c r="U12" i="311"/>
  <c r="U12" i="287"/>
  <c r="U12" i="238"/>
  <c r="O6" i="85"/>
  <c r="U15" i="311"/>
  <c r="U15" i="287"/>
  <c r="U11" i="311"/>
  <c r="U11" i="287"/>
  <c r="U11" i="238"/>
  <c r="U14" i="287"/>
  <c r="U14" i="239"/>
  <c r="U10" i="311"/>
  <c r="U13" i="238"/>
  <c r="U11" i="239"/>
  <c r="U15" i="239"/>
  <c r="U13" i="287"/>
  <c r="AF1" i="238"/>
  <c r="U10" i="238"/>
  <c r="U14" i="238"/>
  <c r="AG1" i="239"/>
  <c r="AC1" i="239"/>
  <c r="Q6" i="239"/>
  <c r="AE1" i="239"/>
  <c r="AG1" i="287"/>
  <c r="AB1" i="287"/>
  <c r="U10" i="287"/>
  <c r="U14" i="311"/>
  <c r="AF1" i="311"/>
  <c r="AB1" i="311"/>
  <c r="AB1" i="239"/>
  <c r="F51" i="287"/>
  <c r="AH1" i="239"/>
  <c r="F52" i="287"/>
  <c r="AH1" i="311"/>
  <c r="F52" i="311"/>
  <c r="AC1" i="311"/>
  <c r="AD1" i="287"/>
  <c r="AC1" i="287"/>
  <c r="AE1" i="311"/>
  <c r="AE1" i="287"/>
  <c r="AD1" i="238"/>
  <c r="AE1" i="238"/>
  <c r="AC1" i="238"/>
  <c r="AH1" i="238"/>
  <c r="AB1" i="238"/>
  <c r="F6" i="238" s="1"/>
  <c r="AE1" i="85" l="1"/>
  <c r="AD1" i="311"/>
  <c r="M6" i="85"/>
  <c r="U13" i="311"/>
  <c r="AG1" i="311"/>
  <c r="U8" i="311"/>
  <c r="U8" i="239"/>
  <c r="O6" i="238"/>
  <c r="M6" i="238"/>
  <c r="U8" i="287"/>
  <c r="U8" i="238"/>
  <c r="U10" i="85"/>
  <c r="AF1" i="85"/>
  <c r="AC1" i="85"/>
  <c r="AB1" i="85"/>
  <c r="K6" i="238"/>
  <c r="U13" i="239"/>
  <c r="U12" i="239"/>
  <c r="U9" i="311"/>
  <c r="AG1" i="85"/>
  <c r="AF1" i="239"/>
  <c r="AD1" i="239"/>
  <c r="F52" i="239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8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<sst xmlns="http://schemas.openxmlformats.org/spreadsheetml/2006/main" count="644" uniqueCount="147">
  <si>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</si>
  <si>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</si>
  <si>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</si>
  <si>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</si>
  <si>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</si>
  <si>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</si>
  <si>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</si>
  <si>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</si>
  <si>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</si>
  <si>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</si>
  <si>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</si>
  <si>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</si>
  <si>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</si>
  <si>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</si>
  <si>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</si>
  <si>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</si>
  <si>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</si>
  <si>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</si>
  <si>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</si>
  <si>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</si>
  <si>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</si>
  <si>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</si>
  <si>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</si>
  <si>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</si>
  <si>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</si>
  <si>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</si>
  <si>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</si>
  <si>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</si>
  <si>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</si>
  <si>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</si>
  <si>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</si>
  <si>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</si>
  <si>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</si>
  <si>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</si>
  <si>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</si>
  <si>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</si>
  <si>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</si>
  <si>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</si>
  <si>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</si>
  <si>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</si>
  <si>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</si>
  <si>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</si>
  <si>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</si>
  <si>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</si>
  <si>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</si>
  <si>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</si>
  <si>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</si>
  <si>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</si>
  <si>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</si>
  <si>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</si>
  <si>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</si>
  <si>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</si>
  <si>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</si>
  <si>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</si>
  <si>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</si>
  <si>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</si>
  <si>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</si>
  <si>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</si>
  <si>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</si>
  <si>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</si>
  <si>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</si>
  <si>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</si>
  <si>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</si>
  <si>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 xml:space="preserve">  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</si>
  <si>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</si>
  <si>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</si>
  <si>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</si>
  <si>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</si>
  <si>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</si>
  <si>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</si>
  <si>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</si>
  <si>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</si>
  <si>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</si>
  <si>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</si>
  <si>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</si>
  <si>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</si>
  <si>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</si>
  <si>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</si>
  <si>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</si>
  <si>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</si>
  <si>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</si>
  <si>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</si>
  <si>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</si>
  <si>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</si>
  <si>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</si>
  <si>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</si>
  <si>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Budapest Bajnokság</t>
  </si>
  <si>
    <t>2025.06.19-29.</t>
  </si>
  <si>
    <t>Budapest</t>
  </si>
  <si>
    <t>Rákóczi Andrea</t>
  </si>
  <si>
    <t>BTSZ</t>
  </si>
  <si>
    <t>Miklósi Zsoltné</t>
  </si>
  <si>
    <t>F12 csapat</t>
  </si>
  <si>
    <t>F14 csapat</t>
  </si>
  <si>
    <t>F16 csapat</t>
  </si>
  <si>
    <t>F18 csapat</t>
  </si>
  <si>
    <t>Pasarét TK 1</t>
  </si>
  <si>
    <t>Pasarét TK 2</t>
  </si>
  <si>
    <t>Pasarét TK 3</t>
  </si>
  <si>
    <t>Bebto T.</t>
  </si>
  <si>
    <t>Vasas SC</t>
  </si>
  <si>
    <t>Fortuna SE</t>
  </si>
  <si>
    <t xml:space="preserve">Pasarét TK 2. </t>
  </si>
  <si>
    <t>Pasarét TK 3.</t>
  </si>
  <si>
    <t>Tenisz Múhely 2</t>
  </si>
  <si>
    <t>Okos Tenisz SE</t>
  </si>
  <si>
    <t>M.E.S.E. Kék</t>
  </si>
  <si>
    <t>Pasarét TK 2.</t>
  </si>
  <si>
    <t>M.E.S.E. Zöld</t>
  </si>
  <si>
    <t>PG Tenisz</t>
  </si>
  <si>
    <t>Golden ACE</t>
  </si>
  <si>
    <t>BEBTO T.</t>
  </si>
  <si>
    <t>Super Extra Tennis</t>
  </si>
  <si>
    <t>VASAS SC</t>
  </si>
  <si>
    <t>OKOS Tenisz SE</t>
  </si>
  <si>
    <t>Tenisz Műhely</t>
  </si>
  <si>
    <t>MTK</t>
  </si>
  <si>
    <t>Bud. Honvéd</t>
  </si>
  <si>
    <t>PG Tenisz 1</t>
  </si>
  <si>
    <t>NEXT TA</t>
  </si>
  <si>
    <t>ALFA TI</t>
  </si>
  <si>
    <t>Metro RSC</t>
  </si>
  <si>
    <t>PG Tenisz 2</t>
  </si>
  <si>
    <t>Kék Lepkék</t>
  </si>
  <si>
    <t>Metro RSC 1</t>
  </si>
  <si>
    <t>Metro RSC 2</t>
  </si>
  <si>
    <t xml:space="preserve">MTK </t>
  </si>
  <si>
    <t>as</t>
  </si>
  <si>
    <t>bs</t>
  </si>
  <si>
    <t>a</t>
  </si>
  <si>
    <t>b</t>
  </si>
  <si>
    <t>Figyelem! 10 csapat, 8-as tábla</t>
  </si>
  <si>
    <t>VIGASZ</t>
  </si>
  <si>
    <t>3/1</t>
  </si>
  <si>
    <t>4/0</t>
  </si>
  <si>
    <t>PASARÉT TK 3</t>
  </si>
  <si>
    <t>KÉK LEPKÉK</t>
  </si>
  <si>
    <t>PASARÉT TK 2</t>
  </si>
  <si>
    <t>FORTUNA SE</t>
  </si>
  <si>
    <t>jn</t>
  </si>
  <si>
    <t>3/0</t>
  </si>
  <si>
    <t>2/1</t>
  </si>
  <si>
    <t>2/0</t>
  </si>
  <si>
    <t>BS</t>
  </si>
  <si>
    <t>x</t>
  </si>
  <si>
    <t>AS</t>
  </si>
  <si>
    <t>2/ 2 ( 33/32)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</si>
</sst>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8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10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3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44" fillId="2" borderId="0" xfId="0" applyNumberFormat="1" applyFont="1" applyFill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4" fillId="0" borderId="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52" fillId="8" borderId="23" xfId="0" applyFont="1" applyFill="1" applyBorder="1" applyAlignment="1">
      <alignment horizontal="right" vertical="center"/>
    </xf>
    <xf numFmtId="0" fontId="47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0" fontId="47" fillId="0" borderId="18" xfId="0" applyFont="1" applyBorder="1" applyAlignment="1">
      <alignment horizontal="center" vertical="center"/>
    </xf>
    <xf numFmtId="0" fontId="47" fillId="0" borderId="17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2" fillId="8" borderId="17" xfId="0" applyFont="1" applyFill="1" applyBorder="1" applyAlignment="1">
      <alignment horizontal="right" vertical="center"/>
    </xf>
    <xf numFmtId="49" fontId="47" fillId="0" borderId="7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0" fontId="47" fillId="0" borderId="17" xfId="0" applyFont="1" applyBorder="1" applyAlignment="1">
      <alignment vertical="center"/>
    </xf>
    <xf numFmtId="49" fontId="47" fillId="0" borderId="17" xfId="0" applyNumberFormat="1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53" fillId="0" borderId="18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3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7" fillId="0" borderId="18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49" fontId="56" fillId="2" borderId="0" xfId="0" applyNumberFormat="1" applyFont="1" applyFill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49" fontId="42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2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2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2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2" fillId="8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63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49" fontId="48" fillId="6" borderId="0" xfId="0" applyNumberFormat="1" applyFont="1" applyFill="1" applyBorder="1" applyAlignment="1">
      <alignment vertical="center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5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center" vertical="center" shrinkToFit="1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0" fontId="64" fillId="2" borderId="0" xfId="0" applyFont="1" applyFill="1"/>
    <xf numFmtId="0" fontId="14" fillId="0" borderId="0" xfId="0" applyNumberFormat="1" applyFont="1" applyAlignment="1">
      <alignment horizontal="left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67" fillId="0" borderId="6" xfId="0" applyNumberFormat="1" applyFont="1" applyBorder="1" applyAlignment="1">
      <alignment horizontal="right" vertical="center"/>
    </xf>
    <xf numFmtId="0" fontId="68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9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8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47" fillId="6" borderId="0" xfId="0" applyNumberFormat="1" applyFont="1" applyFill="1" applyBorder="1" applyAlignment="1">
      <alignment vertical="center"/>
    </xf>
    <xf numFmtId="49" fontId="71" fillId="2" borderId="0" xfId="0" applyNumberFormat="1" applyFont="1" applyFill="1" applyAlignment="1">
      <alignment horizontal="center" vertical="center"/>
    </xf>
    <xf numFmtId="0" fontId="71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49" fontId="76" fillId="2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3" fillId="2" borderId="0" xfId="1" applyFill="1" applyBorder="1"/>
    <xf numFmtId="49" fontId="64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39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0" fontId="77" fillId="9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8" fillId="6" borderId="0" xfId="0" applyFont="1" applyFill="1" applyAlignment="1">
      <alignment vertical="center"/>
    </xf>
    <xf numFmtId="0" fontId="79" fillId="6" borderId="0" xfId="0" applyFont="1" applyFill="1"/>
    <xf numFmtId="49" fontId="70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vertical="center" shrinkToFit="1"/>
    </xf>
    <xf numFmtId="0" fontId="20" fillId="0" borderId="31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66" fillId="3" borderId="2" xfId="0" applyNumberFormat="1" applyFont="1" applyFill="1" applyBorder="1" applyAlignment="1">
      <alignment vertical="center" shrinkToFit="1"/>
    </xf>
    <xf numFmtId="49" fontId="66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7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80" fillId="6" borderId="0" xfId="0" applyFont="1" applyFill="1" applyAlignment="1">
      <alignment horizontal="right" vertical="center"/>
    </xf>
    <xf numFmtId="0" fontId="40" fillId="10" borderId="15" xfId="0" applyFont="1" applyFill="1" applyBorder="1" applyAlignment="1">
      <alignment horizontal="right" vertical="center"/>
    </xf>
    <xf numFmtId="0" fontId="48" fillId="10" borderId="0" xfId="0" applyFont="1" applyFill="1" applyAlignment="1">
      <alignment vertical="center"/>
    </xf>
    <xf numFmtId="49" fontId="57" fillId="10" borderId="0" xfId="0" applyNumberFormat="1" applyFont="1" applyFill="1" applyAlignment="1">
      <alignment vertical="center"/>
    </xf>
    <xf numFmtId="0" fontId="74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8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0" fontId="24" fillId="2" borderId="0" xfId="0" applyNumberFormat="1" applyFont="1" applyFill="1" applyAlignment="1">
      <alignment vertical="center"/>
    </xf>
    <xf numFmtId="49" fontId="11" fillId="4" borderId="24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5" fillId="6" borderId="7" xfId="0" applyFont="1" applyFill="1" applyBorder="1" applyAlignment="1">
      <alignment vertical="center"/>
    </xf>
    <xf numFmtId="49" fontId="54" fillId="6" borderId="0" xfId="0" applyNumberFormat="1" applyFont="1" applyFill="1" applyAlignment="1">
      <alignment vertical="center"/>
    </xf>
    <xf numFmtId="49" fontId="54" fillId="0" borderId="0" xfId="0" applyNumberFormat="1" applyFont="1" applyAlignment="1">
      <alignment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14" fontId="18" fillId="0" borderId="6" xfId="0" applyNumberFormat="1" applyFont="1" applyBorder="1" applyAlignment="1">
      <alignment horizontal="left" vertical="center"/>
    </xf>
  </cellXfs>
  <cellStyles count="3">
    <cellStyle name="Hivatkozás" xfId="1" builtinId="8"/>
    <cellStyle name="Normál" xfId="0" builtinId="0"/>
    <cellStyle name="Pénznem" xfId="2" builtinId="4"/>
  </cellStyles>
  <dxfs count="175"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29" name="Picture 13">
          <a:extLst>
            <a:ext uri="{FF2B5EF4-FFF2-40B4-BE49-F238E27FC236}">
              <a16:creationId xmlns:a16="http://schemas.microsoft.com/office/drawing/2014/main" id="{14DE0AC8-AD7C-6265-4638-9D68B58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43" name="Picture 21">
          <a:extLst>
            <a:ext uri="{FF2B5EF4-FFF2-40B4-BE49-F238E27FC236}">
              <a16:creationId xmlns:a16="http://schemas.microsoft.com/office/drawing/2014/main" id="{9383D99B-BD35-E94C-67AE-D4439CD5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AA2501BE-B915-852E-5253-3846FDBFF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3591" name="Picture 9">
          <a:extLst>
            <a:ext uri="{FF2B5EF4-FFF2-40B4-BE49-F238E27FC236}">
              <a16:creationId xmlns:a16="http://schemas.microsoft.com/office/drawing/2014/main" id="{D5E251EF-2E5E-411D-6AF0-7FF50F48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703489" name="Button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83B3D7F1-68ED-19FB-6552-79809D2C04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703490" name="Button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3A1D33F3-7F17-76D9-9BFB-B75DC7DBE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97" name="Picture 23">
          <a:extLst>
            <a:ext uri="{FF2B5EF4-FFF2-40B4-BE49-F238E27FC236}">
              <a16:creationId xmlns:a16="http://schemas.microsoft.com/office/drawing/2014/main" id="{CE770FB9-D977-65E6-C67D-C77E0EE8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549CDF7E-2E2F-383B-DA96-5251A913B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85" name="Picture 21">
          <a:extLst>
            <a:ext uri="{FF2B5EF4-FFF2-40B4-BE49-F238E27FC236}">
              <a16:creationId xmlns:a16="http://schemas.microsoft.com/office/drawing/2014/main" id="{2CFF20E9-0313-5FD2-CFF0-00F430C9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683DEBDE-573F-0014-B0A4-E0CDC851A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82" name="Picture 3">
          <a:extLst>
            <a:ext uri="{FF2B5EF4-FFF2-40B4-BE49-F238E27FC236}">
              <a16:creationId xmlns:a16="http://schemas.microsoft.com/office/drawing/2014/main" id="{24E58DD9-4D0F-189C-8C25-8C596077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60739272-5B1C-48F1-49C0-44F7EBEE0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2E812625-629B-DBE9-5DBD-EEACDC986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68" name="Picture 3">
          <a:extLst>
            <a:ext uri="{FF2B5EF4-FFF2-40B4-BE49-F238E27FC236}">
              <a16:creationId xmlns:a16="http://schemas.microsoft.com/office/drawing/2014/main" id="{C9198F23-7B97-262F-12AB-75FF9194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4D8FB177-7556-65AC-9123-F86E8356C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A4CD4D84-9F1B-B94A-43A3-CEC3DA563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44" name="Picture 21">
          <a:extLst>
            <a:ext uri="{FF2B5EF4-FFF2-40B4-BE49-F238E27FC236}">
              <a16:creationId xmlns:a16="http://schemas.microsoft.com/office/drawing/2014/main" id="{BD0CA070-1A5F-9087-EB61-B26712DD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F3F839DD-E5FA-4B02-294A-2D3762F2A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2392" name="Picture 9">
          <a:extLst>
            <a:ext uri="{FF2B5EF4-FFF2-40B4-BE49-F238E27FC236}">
              <a16:creationId xmlns:a16="http://schemas.microsoft.com/office/drawing/2014/main" id="{4CE6A53B-76FE-296D-3F53-D39F2653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52289" name="Button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96AE3094-C1A5-8CC0-0D21-3E8CBA170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52290" name="Button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235AEAC2-FA5E-1A88-1760-13915E836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31" name="Picture 21">
          <a:extLst>
            <a:ext uri="{FF2B5EF4-FFF2-40B4-BE49-F238E27FC236}">
              <a16:creationId xmlns:a16="http://schemas.microsoft.com/office/drawing/2014/main" id="{DA416A4E-5CCB-C79E-2C98-ECF52947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350032B0-E6DE-FB6C-11AB-137C05208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90279" name="Picture 9">
          <a:extLst>
            <a:ext uri="{FF2B5EF4-FFF2-40B4-BE49-F238E27FC236}">
              <a16:creationId xmlns:a16="http://schemas.microsoft.com/office/drawing/2014/main" id="{41BD7416-B082-68BC-A8B8-F92A264A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90177" name="Button 1" hidden="1">
              <a:extLst>
                <a:ext uri="{63B3BB69-23CF-44E3-9099-C40C66FF867C}">
                  <a14:compatExt spid="_x0000_s690177"/>
                </a:ext>
                <a:ext uri="{FF2B5EF4-FFF2-40B4-BE49-F238E27FC236}">
                  <a16:creationId xmlns:a16="http://schemas.microsoft.com/office/drawing/2014/main" id="{B3A3DFDE-D25D-93E9-F6FD-B03842475C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90178" name="Button 2" hidden="1">
              <a:extLst>
                <a:ext uri="{63B3BB69-23CF-44E3-9099-C40C66FF867C}">
                  <a14:compatExt spid="_x0000_s690178"/>
                </a:ext>
                <a:ext uri="{FF2B5EF4-FFF2-40B4-BE49-F238E27FC236}">
                  <a16:creationId xmlns:a16="http://schemas.microsoft.com/office/drawing/2014/main" id="{72C4CE44-A5F3-0EB6-2FAF-C6F8F7406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8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5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6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D8" sqref="D8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227" t="s">
        <v>79</v>
      </c>
      <c r="B1" s="3"/>
      <c r="C1" s="3"/>
      <c r="D1" s="228"/>
      <c r="E1" s="4"/>
      <c r="F1" s="5"/>
      <c r="G1" s="5"/>
    </row>
    <row r="2" spans="1:7" s="6" customFormat="1" ht="36.75" customHeight="1" thickBot="1" x14ac:dyDescent="0.25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260" t="s">
        <v>20</v>
      </c>
      <c r="B5" s="21"/>
      <c r="C5" s="21"/>
      <c r="D5" s="21"/>
      <c r="E5" s="396"/>
      <c r="F5" s="22"/>
      <c r="G5" s="23"/>
    </row>
    <row r="6" spans="1:7" s="2" customFormat="1" ht="26.25" x14ac:dyDescent="0.2">
      <c r="A6" s="435" t="s">
        <v>86</v>
      </c>
      <c r="B6" s="397"/>
      <c r="C6" s="24"/>
      <c r="D6" s="25"/>
      <c r="E6" s="26"/>
      <c r="F6" s="5"/>
      <c r="G6" s="5"/>
    </row>
    <row r="7" spans="1:7" s="18" customFormat="1" ht="15" customHeight="1" x14ac:dyDescent="0.2">
      <c r="A7" s="373" t="s">
        <v>80</v>
      </c>
      <c r="B7" s="373" t="s">
        <v>81</v>
      </c>
      <c r="C7" s="373" t="s">
        <v>82</v>
      </c>
      <c r="D7" s="373" t="s">
        <v>83</v>
      </c>
      <c r="E7" s="373" t="s">
        <v>84</v>
      </c>
      <c r="F7" s="22"/>
      <c r="G7" s="23"/>
    </row>
    <row r="8" spans="1:7" s="2" customFormat="1" ht="16.5" customHeight="1" x14ac:dyDescent="0.2">
      <c r="A8" s="294" t="s">
        <v>92</v>
      </c>
      <c r="B8" s="294" t="s">
        <v>93</v>
      </c>
      <c r="C8" s="294" t="s">
        <v>94</v>
      </c>
      <c r="D8" s="294" t="s">
        <v>95</v>
      </c>
      <c r="E8" s="294"/>
      <c r="F8" s="5"/>
      <c r="G8" s="5"/>
    </row>
    <row r="9" spans="1:7" s="2" customFormat="1" ht="15" customHeight="1" x14ac:dyDescent="0.2">
      <c r="A9" s="260" t="s">
        <v>21</v>
      </c>
      <c r="B9" s="21"/>
      <c r="C9" s="261" t="s">
        <v>22</v>
      </c>
      <c r="D9" s="261"/>
      <c r="E9" s="262" t="s">
        <v>23</v>
      </c>
      <c r="F9" s="5"/>
      <c r="G9" s="5"/>
    </row>
    <row r="10" spans="1:7" s="2" customFormat="1" x14ac:dyDescent="0.2">
      <c r="A10" s="29" t="s">
        <v>87</v>
      </c>
      <c r="B10" s="30"/>
      <c r="C10" s="31" t="s">
        <v>88</v>
      </c>
      <c r="D10" s="261" t="s">
        <v>63</v>
      </c>
      <c r="E10" s="377" t="s">
        <v>89</v>
      </c>
      <c r="F10" s="5"/>
      <c r="G10" s="5"/>
    </row>
    <row r="11" spans="1:7" x14ac:dyDescent="0.2">
      <c r="A11" s="20"/>
      <c r="B11" s="21"/>
      <c r="C11" s="286" t="s">
        <v>62</v>
      </c>
      <c r="D11" s="286" t="s">
        <v>76</v>
      </c>
      <c r="E11" s="286" t="s">
        <v>77</v>
      </c>
      <c r="F11" s="33"/>
      <c r="G11" s="33"/>
    </row>
    <row r="12" spans="1:7" s="2" customFormat="1" x14ac:dyDescent="0.2">
      <c r="A12" s="229"/>
      <c r="B12" s="5"/>
      <c r="C12" s="295"/>
      <c r="D12" s="295" t="s">
        <v>90</v>
      </c>
      <c r="E12" s="295" t="s">
        <v>91</v>
      </c>
      <c r="F12" s="5"/>
      <c r="G12" s="5"/>
    </row>
    <row r="13" spans="1:7" ht="7.5" customHeight="1" x14ac:dyDescent="0.2">
      <c r="A13" s="33"/>
      <c r="B13" s="33"/>
      <c r="C13" s="33"/>
      <c r="D13" s="33"/>
      <c r="E13" s="37"/>
      <c r="F13" s="33"/>
      <c r="G13" s="33"/>
    </row>
    <row r="14" spans="1:7" ht="112.5" customHeight="1" x14ac:dyDescent="0.2">
      <c r="A14" s="33"/>
      <c r="B14" s="33"/>
      <c r="C14" s="33"/>
      <c r="D14" s="33"/>
      <c r="E14" s="37"/>
      <c r="F14" s="33"/>
      <c r="G14" s="33"/>
    </row>
    <row r="15" spans="1:7" ht="18.75" customHeight="1" x14ac:dyDescent="0.2">
      <c r="A15" s="32"/>
      <c r="B15" s="32"/>
      <c r="C15" s="32"/>
      <c r="D15" s="32"/>
      <c r="E15" s="37"/>
      <c r="F15" s="33"/>
      <c r="G15" s="33"/>
    </row>
    <row r="16" spans="1:7" ht="17.25" customHeight="1" x14ac:dyDescent="0.2">
      <c r="A16" s="32"/>
      <c r="B16" s="32"/>
      <c r="C16" s="32"/>
      <c r="D16" s="32"/>
      <c r="E16" s="38"/>
      <c r="F16" s="33"/>
      <c r="G16" s="33"/>
    </row>
    <row r="17" spans="1:7" ht="12.75" customHeight="1" x14ac:dyDescent="0.2">
      <c r="A17" s="39"/>
      <c r="B17" s="372"/>
      <c r="C17" s="230"/>
      <c r="D17" s="40"/>
      <c r="E17" s="37"/>
      <c r="F17" s="33"/>
      <c r="G17" s="33"/>
    </row>
    <row r="18" spans="1:7" x14ac:dyDescent="0.2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V17" sqref="V17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41" customWidth="1"/>
    <col min="5" max="5" width="12.140625" style="418" customWidth="1"/>
    <col min="6" max="6" width="6.140625" style="94" hidden="1" customWidth="1"/>
    <col min="7" max="7" width="31.42578125" style="94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5" thickBot="1" x14ac:dyDescent="0.25">
      <c r="B2" s="90" t="s">
        <v>51</v>
      </c>
      <c r="C2" s="432" t="str">
        <f>Altalanos!$D$8</f>
        <v>F18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5" thickBot="1" x14ac:dyDescent="0.25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5" thickBot="1" x14ac:dyDescent="0.25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25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95" customHeight="1" x14ac:dyDescent="0.2">
      <c r="A7" s="253">
        <v>1</v>
      </c>
      <c r="B7" s="96" t="s">
        <v>113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13</v>
      </c>
      <c r="P7" s="116"/>
      <c r="Q7" s="98"/>
    </row>
    <row r="8" spans="1:17" s="11" customFormat="1" ht="18.95" customHeight="1" x14ac:dyDescent="0.2">
      <c r="A8" s="253">
        <v>2</v>
      </c>
      <c r="B8" s="96" t="s">
        <v>96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20</v>
      </c>
      <c r="P8" s="116"/>
      <c r="Q8" s="98"/>
    </row>
    <row r="9" spans="1:17" s="11" customFormat="1" ht="18.95" customHeight="1" x14ac:dyDescent="0.2">
      <c r="A9" s="253">
        <v>3</v>
      </c>
      <c r="B9" s="96" t="s">
        <v>118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33</v>
      </c>
      <c r="P9" s="412"/>
      <c r="Q9" s="283"/>
    </row>
    <row r="10" spans="1:17" s="11" customFormat="1" ht="18.95" customHeight="1" x14ac:dyDescent="0.2">
      <c r="A10" s="253">
        <v>4</v>
      </c>
      <c r="B10" s="96" t="s">
        <v>97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46</v>
      </c>
      <c r="P10" s="411"/>
      <c r="Q10" s="408"/>
    </row>
    <row r="11" spans="1:17" s="11" customFormat="1" ht="18.95" customHeight="1" x14ac:dyDescent="0.2">
      <c r="A11" s="253">
        <v>5</v>
      </c>
      <c r="B11" s="96" t="s">
        <v>116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50</v>
      </c>
      <c r="P11" s="411"/>
      <c r="Q11" s="408"/>
    </row>
    <row r="12" spans="1:17" s="11" customFormat="1" ht="18.95" customHeight="1" x14ac:dyDescent="0.2">
      <c r="A12" s="253">
        <v>6</v>
      </c>
      <c r="B12" s="96" t="s">
        <v>122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72</v>
      </c>
      <c r="P12" s="411"/>
      <c r="Q12" s="408"/>
    </row>
    <row r="13" spans="1:17" s="11" customFormat="1" ht="18.95" customHeight="1" x14ac:dyDescent="0.2">
      <c r="A13" s="253">
        <v>7</v>
      </c>
      <c r="B13" s="96" t="s">
        <v>98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73</v>
      </c>
      <c r="P13" s="411"/>
      <c r="Q13" s="408"/>
    </row>
    <row r="14" spans="1:17" s="11" customFormat="1" ht="18.95" customHeight="1" x14ac:dyDescent="0.2">
      <c r="A14" s="253">
        <v>8</v>
      </c>
      <c r="B14" s="96" t="s">
        <v>119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81</v>
      </c>
      <c r="P14" s="411"/>
      <c r="Q14" s="408"/>
    </row>
    <row r="15" spans="1:17" s="11" customFormat="1" ht="18.95" customHeight="1" x14ac:dyDescent="0.2">
      <c r="A15" s="253">
        <v>9</v>
      </c>
      <c r="B15" s="96" t="s">
        <v>124</v>
      </c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>
        <v>134</v>
      </c>
      <c r="P15" s="98"/>
      <c r="Q15" s="98"/>
    </row>
    <row r="16" spans="1:17" s="11" customFormat="1" ht="18.95" customHeight="1" x14ac:dyDescent="0.2">
      <c r="A16" s="253">
        <v>10</v>
      </c>
      <c r="B16" s="96" t="s">
        <v>125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229</v>
      </c>
      <c r="P16" s="116"/>
      <c r="Q16" s="98"/>
    </row>
    <row r="17" spans="1:17" s="11" customFormat="1" ht="18.95" customHeight="1" x14ac:dyDescent="0.2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95" customHeight="1" x14ac:dyDescent="0.2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95" customHeight="1" x14ac:dyDescent="0.2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95" customHeight="1" x14ac:dyDescent="0.2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95" customHeight="1" x14ac:dyDescent="0.2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95" customHeight="1" x14ac:dyDescent="0.2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95" customHeight="1" x14ac:dyDescent="0.2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95" customHeight="1" x14ac:dyDescent="0.2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95" customHeight="1" x14ac:dyDescent="0.2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95" customHeight="1" x14ac:dyDescent="0.2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95" customHeight="1" x14ac:dyDescent="0.2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95" customHeight="1" x14ac:dyDescent="0.2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95" customHeight="1" x14ac:dyDescent="0.2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95" customHeight="1" x14ac:dyDescent="0.2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95" customHeight="1" x14ac:dyDescent="0.2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95" customHeight="1" x14ac:dyDescent="0.2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95" customHeight="1" x14ac:dyDescent="0.2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95" customHeight="1" x14ac:dyDescent="0.2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95" customHeight="1" x14ac:dyDescent="0.2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95" customHeight="1" x14ac:dyDescent="0.2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95" customHeight="1" x14ac:dyDescent="0.2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95" customHeight="1" x14ac:dyDescent="0.2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95" customHeight="1" x14ac:dyDescent="0.2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95" customHeight="1" x14ac:dyDescent="0.2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95" customHeight="1" x14ac:dyDescent="0.2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95" customHeight="1" x14ac:dyDescent="0.2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95" customHeight="1" x14ac:dyDescent="0.2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95" customHeight="1" x14ac:dyDescent="0.2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95" customHeight="1" x14ac:dyDescent="0.2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95" customHeight="1" x14ac:dyDescent="0.2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95" customHeight="1" x14ac:dyDescent="0.2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95" customHeight="1" x14ac:dyDescent="0.2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95" customHeight="1" x14ac:dyDescent="0.2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95" customHeight="1" x14ac:dyDescent="0.2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95" customHeight="1" x14ac:dyDescent="0.2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95" customHeight="1" x14ac:dyDescent="0.2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95" customHeight="1" x14ac:dyDescent="0.2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95" customHeight="1" x14ac:dyDescent="0.2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95" customHeight="1" x14ac:dyDescent="0.2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95" customHeight="1" x14ac:dyDescent="0.2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95" customHeight="1" x14ac:dyDescent="0.2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95" customHeight="1" x14ac:dyDescent="0.2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95" customHeight="1" x14ac:dyDescent="0.2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95" customHeight="1" x14ac:dyDescent="0.2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95" customHeight="1" x14ac:dyDescent="0.2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95" customHeight="1" x14ac:dyDescent="0.2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95" customHeight="1" x14ac:dyDescent="0.2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95" customHeight="1" x14ac:dyDescent="0.2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95" customHeight="1" x14ac:dyDescent="0.2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95" customHeight="1" x14ac:dyDescent="0.2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95" customHeight="1" x14ac:dyDescent="0.2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95" customHeight="1" x14ac:dyDescent="0.2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95" customHeight="1" x14ac:dyDescent="0.2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95" customHeight="1" x14ac:dyDescent="0.2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95" customHeight="1" x14ac:dyDescent="0.2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95" customHeight="1" x14ac:dyDescent="0.2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95" customHeight="1" x14ac:dyDescent="0.2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95" customHeight="1" x14ac:dyDescent="0.2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95" customHeight="1" x14ac:dyDescent="0.2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95" customHeight="1" x14ac:dyDescent="0.2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95" customHeight="1" x14ac:dyDescent="0.2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95" customHeight="1" x14ac:dyDescent="0.2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95" customHeight="1" x14ac:dyDescent="0.2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95" customHeight="1" x14ac:dyDescent="0.2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95" customHeight="1" x14ac:dyDescent="0.2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95" customHeight="1" x14ac:dyDescent="0.2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95" customHeight="1" x14ac:dyDescent="0.2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95" customHeight="1" x14ac:dyDescent="0.2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95" customHeight="1" x14ac:dyDescent="0.2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95" customHeight="1" x14ac:dyDescent="0.2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95" customHeight="1" x14ac:dyDescent="0.2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95" customHeight="1" x14ac:dyDescent="0.2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95" customHeight="1" x14ac:dyDescent="0.2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95" customHeight="1" x14ac:dyDescent="0.2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95" customHeight="1" x14ac:dyDescent="0.2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95" customHeight="1" x14ac:dyDescent="0.2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95" customHeight="1" x14ac:dyDescent="0.2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95" customHeight="1" x14ac:dyDescent="0.2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95" customHeight="1" x14ac:dyDescent="0.2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95" customHeight="1" x14ac:dyDescent="0.2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95" customHeight="1" x14ac:dyDescent="0.2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95" customHeight="1" x14ac:dyDescent="0.2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95" customHeight="1" x14ac:dyDescent="0.2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95" customHeight="1" x14ac:dyDescent="0.2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95" customHeight="1" x14ac:dyDescent="0.2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95" customHeight="1" x14ac:dyDescent="0.2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95" customHeight="1" x14ac:dyDescent="0.2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95" customHeight="1" x14ac:dyDescent="0.2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95" customHeight="1" x14ac:dyDescent="0.2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95" customHeight="1" x14ac:dyDescent="0.2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95" customHeight="1" x14ac:dyDescent="0.2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95" customHeight="1" x14ac:dyDescent="0.2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95" customHeight="1" x14ac:dyDescent="0.2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95" customHeight="1" x14ac:dyDescent="0.2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95" customHeight="1" x14ac:dyDescent="0.2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95" customHeight="1" x14ac:dyDescent="0.2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95" customHeight="1" x14ac:dyDescent="0.2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95" customHeight="1" x14ac:dyDescent="0.2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95" customHeight="1" x14ac:dyDescent="0.2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95" customHeight="1" x14ac:dyDescent="0.2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95" customHeight="1" x14ac:dyDescent="0.2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95" customHeight="1" x14ac:dyDescent="0.2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95" customHeight="1" x14ac:dyDescent="0.2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95" customHeight="1" x14ac:dyDescent="0.2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95" customHeight="1" x14ac:dyDescent="0.2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95" customHeight="1" x14ac:dyDescent="0.2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95" customHeight="1" x14ac:dyDescent="0.2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95" customHeight="1" x14ac:dyDescent="0.2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95" customHeight="1" x14ac:dyDescent="0.2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95" customHeight="1" x14ac:dyDescent="0.2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95" customHeight="1" x14ac:dyDescent="0.2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95" customHeight="1" x14ac:dyDescent="0.2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95" customHeight="1" x14ac:dyDescent="0.2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95" customHeight="1" x14ac:dyDescent="0.2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95" customHeight="1" x14ac:dyDescent="0.2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95" customHeight="1" x14ac:dyDescent="0.2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95" customHeight="1" x14ac:dyDescent="0.2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95" customHeight="1" x14ac:dyDescent="0.2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56">
    <cfRule type="expression" dxfId="31" priority="16" stopIfTrue="1">
      <formula>AND(ROUNDDOWN(($A$4-E7)/365.25,0)&lt;=13,G7&lt;&gt;"OK")</formula>
    </cfRule>
    <cfRule type="expression" dxfId="30" priority="17" stopIfTrue="1">
      <formula>AND(ROUNDDOWN(($A$4-E7)/365.25,0)&lt;=14,G7&lt;&gt;"OK")</formula>
    </cfRule>
    <cfRule type="expression" dxfId="29" priority="18" stopIfTrue="1">
      <formula>AND(ROUNDDOWN(($A$4-E7)/365.25,0)&lt;=17,G7&lt;&gt;"OK")</formula>
    </cfRule>
  </conditionalFormatting>
  <conditionalFormatting sqref="J7:J156">
    <cfRule type="cellIs" dxfId="28" priority="15" stopIfTrue="1" operator="equal">
      <formula>"Z"</formula>
    </cfRule>
  </conditionalFormatting>
  <conditionalFormatting sqref="A7:D156">
    <cfRule type="expression" dxfId="27" priority="14" stopIfTrue="1">
      <formula>$Q7&gt;=1</formula>
    </cfRule>
  </conditionalFormatting>
  <conditionalFormatting sqref="E7:E15">
    <cfRule type="expression" dxfId="26" priority="11" stopIfTrue="1">
      <formula>AND(ROUNDDOWN(($A$4-E7)/365.25,0)&lt;=13,G7&lt;&gt;"OK")</formula>
    </cfRule>
    <cfRule type="expression" dxfId="25" priority="12" stopIfTrue="1">
      <formula>AND(ROUNDDOWN(($A$4-E7)/365.25,0)&lt;=14,G7&lt;&gt;"OK")</formula>
    </cfRule>
    <cfRule type="expression" dxfId="24" priority="13" stopIfTrue="1">
      <formula>AND(ROUNDDOWN(($A$4-E7)/365.25,0)&lt;=17,G7&lt;&gt;"OK")</formula>
    </cfRule>
  </conditionalFormatting>
  <conditionalFormatting sqref="J7:J15">
    <cfRule type="cellIs" dxfId="23" priority="10" stopIfTrue="1" operator="equal">
      <formula>"Z"</formula>
    </cfRule>
  </conditionalFormatting>
  <conditionalFormatting sqref="B7:D15">
    <cfRule type="expression" dxfId="22" priority="9" stopIfTrue="1">
      <formula>$Q7&gt;=1</formula>
    </cfRule>
  </conditionalFormatting>
  <conditionalFormatting sqref="E7:E15">
    <cfRule type="expression" dxfId="21" priority="6" stopIfTrue="1">
      <formula>AND(ROUNDDOWN(($A$4-E7)/365.25,0)&lt;=13,G7&lt;&gt;"OK")</formula>
    </cfRule>
    <cfRule type="expression" dxfId="20" priority="7" stopIfTrue="1">
      <formula>AND(ROUNDDOWN(($A$4-E7)/365.25,0)&lt;=14,G7&lt;&gt;"OK")</formula>
    </cfRule>
    <cfRule type="expression" dxfId="19" priority="8" stopIfTrue="1">
      <formula>AND(ROUNDDOWN(($A$4-E7)/365.25,0)&lt;=17,G7&lt;&gt;"OK")</formula>
    </cfRule>
  </conditionalFormatting>
  <conditionalFormatting sqref="B7:D15">
    <cfRule type="expression" dxfId="18" priority="5" stopIfTrue="1">
      <formula>$Q7&gt;=1</formula>
    </cfRule>
  </conditionalFormatting>
  <conditionalFormatting sqref="E29:E37 E7:E27">
    <cfRule type="expression" dxfId="17" priority="2" stopIfTrue="1">
      <formula>AND(ROUNDDOWN(($A$4-E7)/365.25,0)&lt;=13,G7&lt;&gt;"OK")</formula>
    </cfRule>
    <cfRule type="expression" dxfId="16" priority="3" stopIfTrue="1">
      <formula>AND(ROUNDDOWN(($A$4-E7)/365.25,0)&lt;=14,G7&lt;&gt;"OK")</formula>
    </cfRule>
    <cfRule type="expression" dxfId="15" priority="4" stopIfTrue="1">
      <formula>AND(ROUNDDOWN(($A$4-E7)/365.25,0)&lt;=17,G7&lt;&gt;"OK")</formula>
    </cfRule>
  </conditionalFormatting>
  <conditionalFormatting sqref="B7:D37">
    <cfRule type="expression" dxfId="14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9">
    <tabColor indexed="11"/>
    <pageSetUpPr fitToPage="1"/>
  </sheetPr>
  <dimension ref="A1:AO57"/>
  <sheetViews>
    <sheetView showGridLines="0" showZeros="0" tabSelected="1" workbookViewId="0">
      <selection activeCell="AI1" sqref="AI1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7" customWidth="1"/>
    <col min="11" max="11" width="10.7109375" customWidth="1"/>
    <col min="12" max="12" width="1.7109375" style="117" customWidth="1"/>
    <col min="13" max="13" width="10.7109375" customWidth="1"/>
    <col min="14" max="14" width="1.7109375" style="118" customWidth="1"/>
    <col min="15" max="15" width="10.7109375" customWidth="1"/>
    <col min="16" max="16" width="1.7109375" style="117" customWidth="1"/>
    <col min="17" max="17" width="10.7109375" customWidth="1"/>
    <col min="18" max="18" width="1.7109375" style="118" customWidth="1"/>
    <col min="19" max="19" width="9.140625" hidden="1" customWidth="1"/>
    <col min="20" max="20" width="8.7109375" customWidth="1"/>
    <col min="21" max="21" width="9.140625" hidden="1" customWidth="1"/>
    <col min="25" max="34" width="9.140625" hidden="1" customWidth="1"/>
    <col min="35" max="37" width="9.140625" style="374" customWidth="1"/>
  </cols>
  <sheetData>
    <row r="1" spans="1:37" s="119" customFormat="1" ht="21.75" customHeight="1" x14ac:dyDescent="0.2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">
      <c r="A2" s="293" t="s">
        <v>51</v>
      </c>
      <c r="B2" s="90"/>
      <c r="C2" s="90"/>
      <c r="D2" s="90"/>
      <c r="E2" s="287" t="str">
        <f>Altalanos!$D$8</f>
        <v>F18 csapat</v>
      </c>
      <c r="F2" s="90"/>
      <c r="G2" s="122"/>
      <c r="H2" s="100"/>
      <c r="I2" s="100"/>
      <c r="J2" s="123"/>
      <c r="K2" s="107" t="s">
        <v>131</v>
      </c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25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25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5" customHeight="1" x14ac:dyDescent="0.2">
      <c r="A7" s="135">
        <v>1</v>
      </c>
      <c r="B7" s="243">
        <f>IF($E7="","",VLOOKUP($E7,'F18 csapat ELO'!$A$7:$O$22,14))</f>
        <v>0</v>
      </c>
      <c r="C7" s="272">
        <f>IF($E7="","",VLOOKUP($E7,'F18 csapat ELO'!$A$7:$O$22,15))</f>
        <v>13</v>
      </c>
      <c r="D7" s="272">
        <f>IF($E7="","",VLOOKUP($E7,'F18 csapat ELO'!$A$7:$O$22,5))</f>
        <v>0</v>
      </c>
      <c r="E7" s="136">
        <v>1</v>
      </c>
      <c r="F7" s="137" t="str">
        <f>UPPER(IF($E7="","",VLOOKUP($E7,'F18 csapat ELO'!$A$7:$O$22,2)))</f>
        <v>VASAS SC</v>
      </c>
      <c r="G7" s="137">
        <f>IF($E7="","",VLOOKUP($E7,'F18 csapat ELO'!$A$7:$O$22,3))</f>
        <v>0</v>
      </c>
      <c r="H7" s="137"/>
      <c r="I7" s="137">
        <f>IF($E7="","",VLOOKUP($E7,'F18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5" customHeight="1" x14ac:dyDescent="0.2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VASAS SC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5" customHeight="1" x14ac:dyDescent="0.2">
      <c r="A9" s="147">
        <v>2</v>
      </c>
      <c r="B9" s="243" t="str">
        <f>IF($E9="","",VLOOKUP($E9,'F18 csapat ELO'!$A$7:$O$22,14))</f>
        <v/>
      </c>
      <c r="C9" s="272" t="str">
        <f>IF($E9="","",VLOOKUP($E9,'F18 csapat ELO'!$A$7:$O$22,15))</f>
        <v/>
      </c>
      <c r="D9" s="272" t="str">
        <f>IF($E9="","",VLOOKUP($E9,'F18 csapat ELO'!$A$7:$O$22,5))</f>
        <v/>
      </c>
      <c r="E9" s="136"/>
      <c r="F9" s="155" t="str">
        <f>UPPER(IF($E9="","",VLOOKUP($E9,'F18 csapat ELO'!$A$7:$O$22,2)))</f>
        <v/>
      </c>
      <c r="G9" s="155" t="str">
        <f>IF($E9="","",VLOOKUP($E9,'F18 csapat ELO'!$A$7:$O$22,3))</f>
        <v/>
      </c>
      <c r="H9" s="155"/>
      <c r="I9" s="137" t="str">
        <f>IF($E9="","",VLOOKUP($E9,'F18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5" customHeight="1" x14ac:dyDescent="0.2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127</v>
      </c>
      <c r="M10" s="153" t="str">
        <f>UPPER(IF(OR(L10="a",L10="as"),K8,IF(OR(L10="b",L10="bs"),K12,)))</f>
        <v>VASAS SC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5" customHeight="1" x14ac:dyDescent="0.2">
      <c r="A11" s="147">
        <v>3</v>
      </c>
      <c r="B11" s="243" t="str">
        <f>IF($E11="","",VLOOKUP($E11,'F18 csapat ELO'!$A$7:$O$22,14))</f>
        <v/>
      </c>
      <c r="C11" s="272" t="str">
        <f>IF($E11="","",VLOOKUP($E11,'F18 csapat ELO'!$A$7:$O$22,15))</f>
        <v/>
      </c>
      <c r="D11" s="272" t="str">
        <f>IF($E11="","",VLOOKUP($E11,'F18 csapat ELO'!$A$7:$O$22,5))</f>
        <v/>
      </c>
      <c r="E11" s="136"/>
      <c r="F11" s="155" t="str">
        <f>UPPER(IF($E11="","",VLOOKUP($E11,'F18 csapat ELO'!$A$7:$O$22,2)))</f>
        <v/>
      </c>
      <c r="G11" s="155" t="str">
        <f>IF($E11="","",VLOOKUP($E11,'F18 csapat ELO'!$A$7:$O$22,3))</f>
        <v/>
      </c>
      <c r="H11" s="155"/>
      <c r="I11" s="155" t="str">
        <f>IF($E11="","",VLOOKUP($E11,'F18 csapat ELO'!$A$7:$O$22,4))</f>
        <v/>
      </c>
      <c r="J11" s="139"/>
      <c r="K11" s="138"/>
      <c r="L11" s="163"/>
      <c r="M11" s="138" t="s">
        <v>142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5" customHeight="1" x14ac:dyDescent="0.2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130</v>
      </c>
      <c r="K12" s="153" t="str">
        <f>UPPER(IF(OR(J12="a",J12="as"),F11,IF(OR(J12="b",J12="bs"),F13,)))</f>
        <v>PG TENISZ 2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5" customHeight="1" x14ac:dyDescent="0.2">
      <c r="A13" s="147">
        <v>4</v>
      </c>
      <c r="B13" s="243">
        <f>IF($E13="","",VLOOKUP($E13,'F18 csapat ELO'!$A$7:$O$22,14))</f>
        <v>0</v>
      </c>
      <c r="C13" s="272">
        <f>IF($E13="","",VLOOKUP($E13,'F18 csapat ELO'!$A$7:$O$22,15))</f>
        <v>72</v>
      </c>
      <c r="D13" s="272">
        <f>IF($E13="","",VLOOKUP($E13,'F18 csapat ELO'!$A$7:$O$22,5))</f>
        <v>0</v>
      </c>
      <c r="E13" s="136">
        <v>6</v>
      </c>
      <c r="F13" s="155" t="str">
        <f>UPPER(IF($E13="","",VLOOKUP($E13,'F18 csapat ELO'!$A$7:$O$22,2)))</f>
        <v>PG TENISZ 2</v>
      </c>
      <c r="G13" s="155">
        <f>IF($E13="","",VLOOKUP($E13,'F18 csapat ELO'!$A$7:$O$22,3))</f>
        <v>0</v>
      </c>
      <c r="H13" s="155"/>
      <c r="I13" s="155">
        <f>IF($E13="","",VLOOKUP($E13,'F18 csapat ELO'!$A$7:$O$22,4))</f>
        <v>0</v>
      </c>
      <c r="J13" s="166"/>
      <c r="K13" s="138"/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5" customHeight="1" x14ac:dyDescent="0.2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65</v>
      </c>
      <c r="O14" s="153" t="str">
        <f>UPPER(IF(OR(N14="a",N14="as"),M10,IF(OR(N14="b",N14="bs"),M18,)))</f>
        <v>PG TENISZ 1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5" customHeight="1" x14ac:dyDescent="0.2">
      <c r="A15" s="135">
        <v>5</v>
      </c>
      <c r="B15" s="243">
        <f>IF($E15="","",VLOOKUP($E15,'F18 csapat ELO'!$A$7:$O$22,14))</f>
        <v>0</v>
      </c>
      <c r="C15" s="272">
        <f>IF($E15="","",VLOOKUP($E15,'F18 csapat ELO'!$A$7:$O$22,15))</f>
        <v>73</v>
      </c>
      <c r="D15" s="272">
        <f>IF($E15="","",VLOOKUP($E15,'F18 csapat ELO'!$A$7:$O$22,5))</f>
        <v>0</v>
      </c>
      <c r="E15" s="136">
        <v>7</v>
      </c>
      <c r="F15" s="137" t="str">
        <f>UPPER(IF($E15="","",VLOOKUP($E15,'F18 csapat ELO'!$A$7:$O$22,2)))</f>
        <v>PASARÉT TK 3</v>
      </c>
      <c r="G15" s="137">
        <f>IF($E15="","",VLOOKUP($E15,'F18 csapat ELO'!$A$7:$O$22,3))</f>
        <v>0</v>
      </c>
      <c r="H15" s="137"/>
      <c r="I15" s="137">
        <f>IF($E15="","",VLOOKUP($E15,'F18 csapat ELO'!$A$7:$O$22,4))</f>
        <v>0</v>
      </c>
      <c r="J15" s="168"/>
      <c r="K15" s="138"/>
      <c r="L15" s="138"/>
      <c r="M15" s="138"/>
      <c r="N15" s="164"/>
      <c r="O15" s="162" t="s">
        <v>141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5" customHeight="1" thickBot="1" x14ac:dyDescent="0.25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129</v>
      </c>
      <c r="K16" s="153" t="str">
        <f>UPPER(IF(OR(J16="a",J16="as"),F15,IF(OR(J16="b",J16="bs"),F17,)))</f>
        <v>PASARÉT TK 3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5" customHeight="1" x14ac:dyDescent="0.2">
      <c r="A17" s="147">
        <v>6</v>
      </c>
      <c r="B17" s="243">
        <f>IF($E17="","",VLOOKUP($E17,'F18 csapat ELO'!$A$7:$O$22,14))</f>
        <v>0</v>
      </c>
      <c r="C17" s="272">
        <f>IF($E17="","",VLOOKUP($E17,'F18 csapat ELO'!$A$7:$O$22,15))</f>
        <v>134</v>
      </c>
      <c r="D17" s="272">
        <f>IF($E17="","",VLOOKUP($E17,'F18 csapat ELO'!$A$7:$O$22,5))</f>
        <v>0</v>
      </c>
      <c r="E17" s="136">
        <v>9</v>
      </c>
      <c r="F17" s="155" t="str">
        <f>UPPER(IF($E17="","",VLOOKUP($E17,'F18 csapat ELO'!$A$7:$O$22,2)))</f>
        <v>METRO RSC 1</v>
      </c>
      <c r="G17" s="155">
        <f>IF($E17="","",VLOOKUP($E17,'F18 csapat ELO'!$A$7:$O$22,3))</f>
        <v>0</v>
      </c>
      <c r="H17" s="155"/>
      <c r="I17" s="155">
        <f>IF($E17="","",VLOOKUP($E17,'F18 csapat ELO'!$A$7:$O$22,4))</f>
        <v>0</v>
      </c>
      <c r="J17" s="156"/>
      <c r="K17" s="162" t="s">
        <v>141</v>
      </c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5" customHeight="1" x14ac:dyDescent="0.2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130</v>
      </c>
      <c r="M18" s="153" t="str">
        <f>UPPER(IF(OR(L18="a",L18="as"),K16,IF(OR(L18="b",L18="bs"),K20,)))</f>
        <v>PG TENISZ 1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5" customHeight="1" x14ac:dyDescent="0.2">
      <c r="A19" s="147">
        <v>7</v>
      </c>
      <c r="B19" s="243">
        <f>IF($E19="","",VLOOKUP($E19,'F18 csapat ELO'!$A$7:$O$22,14))</f>
        <v>0</v>
      </c>
      <c r="C19" s="272">
        <f>IF($E19="","",VLOOKUP($E19,'F18 csapat ELO'!$A$7:$O$22,15))</f>
        <v>33</v>
      </c>
      <c r="D19" s="272">
        <f>IF($E19="","",VLOOKUP($E19,'F18 csapat ELO'!$A$7:$O$22,5))</f>
        <v>0</v>
      </c>
      <c r="E19" s="136">
        <v>3</v>
      </c>
      <c r="F19" s="155" t="str">
        <f>UPPER(IF($E19="","",VLOOKUP($E19,'F18 csapat ELO'!$A$7:$O$22,2)))</f>
        <v>PG TENISZ 1</v>
      </c>
      <c r="G19" s="155">
        <f>IF($E19="","",VLOOKUP($E19,'F18 csapat ELO'!$A$7:$O$22,3))</f>
        <v>0</v>
      </c>
      <c r="H19" s="155"/>
      <c r="I19" s="155">
        <f>IF($E19="","",VLOOKUP($E19,'F18 csapat ELO'!$A$7:$O$22,4))</f>
        <v>0</v>
      </c>
      <c r="J19" s="139"/>
      <c r="K19" s="138"/>
      <c r="L19" s="163"/>
      <c r="M19" s="138" t="s">
        <v>140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5" customHeight="1" x14ac:dyDescent="0.2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129</v>
      </c>
      <c r="K20" s="153" t="str">
        <f>UPPER(IF(OR(J20="a",J20="as"),F19,IF(OR(J20="b",J20="bs"),F21,)))</f>
        <v>PG TENISZ 1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5" customHeight="1" x14ac:dyDescent="0.2">
      <c r="A21" s="147">
        <v>8</v>
      </c>
      <c r="B21" s="243" t="str">
        <f>IF($E21="","",VLOOKUP($E21,'F18 csapat ELO'!$A$7:$O$22,14))</f>
        <v/>
      </c>
      <c r="C21" s="272" t="str">
        <f>IF($E21="","",VLOOKUP($E21,'F18 csapat ELO'!$A$7:$O$22,15))</f>
        <v/>
      </c>
      <c r="D21" s="272" t="str">
        <f>IF($E21="","",VLOOKUP($E21,'F18 csapat ELO'!$A$7:$O$22,5))</f>
        <v/>
      </c>
      <c r="E21" s="136"/>
      <c r="F21" s="155" t="str">
        <f>UPPER(IF($E21="","",VLOOKUP($E21,'F18 csapat ELO'!$A$7:$O$22,2)))</f>
        <v/>
      </c>
      <c r="G21" s="155" t="str">
        <f>IF($E21="","",VLOOKUP($E21,'F18 csapat ELO'!$A$7:$O$22,3))</f>
        <v/>
      </c>
      <c r="H21" s="155"/>
      <c r="I21" s="155" t="str">
        <f>IF($E21="","",VLOOKUP($E21,'F18 csapat ELO'!$A$7:$O$22,4))</f>
        <v/>
      </c>
      <c r="J21" s="166"/>
      <c r="K21" s="138"/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5" customHeight="1" x14ac:dyDescent="0.2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143</v>
      </c>
      <c r="Q22" s="153" t="str">
        <f>UPPER(IF(OR(P22="a",P22="as"),O14,IF(OR(P22="b",P22="bs"),O30,)))</f>
        <v>PASARÉT TK 1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5" customHeight="1" x14ac:dyDescent="0.2">
      <c r="A23" s="147">
        <v>9</v>
      </c>
      <c r="B23" s="243">
        <f>IF($E23="","",VLOOKUP($E23,'F18 csapat ELO'!$A$7:$O$22,14))</f>
        <v>0</v>
      </c>
      <c r="C23" s="272">
        <f>IF($E23="","",VLOOKUP($E23,'F18 csapat ELO'!$A$7:$O$22,15))</f>
        <v>46</v>
      </c>
      <c r="D23" s="272">
        <f>IF($E23="","",VLOOKUP($E23,'F18 csapat ELO'!$A$7:$O$22,5))</f>
        <v>0</v>
      </c>
      <c r="E23" s="136">
        <v>4</v>
      </c>
      <c r="F23" s="155" t="str">
        <f>UPPER(IF($E23="","",VLOOKUP($E23,'F18 csapat ELO'!$A$7:$O$22,2)))</f>
        <v>PASARÉT TK 2</v>
      </c>
      <c r="G23" s="155">
        <f>IF($E23="","",VLOOKUP($E23,'F18 csapat ELO'!$A$7:$O$22,3))</f>
        <v>0</v>
      </c>
      <c r="H23" s="155"/>
      <c r="I23" s="155">
        <f>IF($E23="","",VLOOKUP($E23,'F18 csapat ELO'!$A$7:$O$22,4))</f>
        <v>0</v>
      </c>
      <c r="J23" s="139"/>
      <c r="K23" s="138"/>
      <c r="L23" s="138"/>
      <c r="M23" s="138"/>
      <c r="N23" s="162"/>
      <c r="O23" s="138"/>
      <c r="P23" s="164"/>
      <c r="Q23" s="167" t="s">
        <v>142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5" customHeight="1" x14ac:dyDescent="0.2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129</v>
      </c>
      <c r="K24" s="153" t="str">
        <f>UPPER(IF(OR(J24="a",J24="as"),F23,IF(OR(J24="b",J24="bs"),F25,)))</f>
        <v>PASARÉT TK 2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5" customHeight="1" x14ac:dyDescent="0.2">
      <c r="A25" s="147">
        <v>10</v>
      </c>
      <c r="B25" s="243" t="str">
        <f>IF($E25="","",VLOOKUP($E25,'F18 csapat ELO'!$A$7:$O$22,14))</f>
        <v/>
      </c>
      <c r="C25" s="272" t="str">
        <f>IF($E25="","",VLOOKUP($E25,'F18 csapat ELO'!$A$7:$O$22,15))</f>
        <v/>
      </c>
      <c r="D25" s="272" t="str">
        <f>IF($E25="","",VLOOKUP($E25,'F18 csapat ELO'!$A$7:$O$22,5))</f>
        <v/>
      </c>
      <c r="E25" s="136"/>
      <c r="F25" s="155" t="str">
        <f>UPPER(IF($E25="","",VLOOKUP($E25,'F18 csapat ELO'!$A$7:$O$22,2)))</f>
        <v/>
      </c>
      <c r="G25" s="155" t="str">
        <f>IF($E25="","",VLOOKUP($E25,'F18 csapat ELO'!$A$7:$O$22,3))</f>
        <v/>
      </c>
      <c r="H25" s="155"/>
      <c r="I25" s="155" t="str">
        <f>IF($E25="","",VLOOKUP($E25,'F18 csapat ELO'!$A$7:$O$22,4))</f>
        <v/>
      </c>
      <c r="J25" s="156"/>
      <c r="K25" s="138"/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5" customHeight="1" x14ac:dyDescent="0.2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130</v>
      </c>
      <c r="M26" s="153" t="str">
        <f>UPPER(IF(OR(L26="a",L26="as"),K24,IF(OR(L26="b",L26="bs"),K28,)))</f>
        <v>MTK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5" customHeight="1" x14ac:dyDescent="0.2">
      <c r="A27" s="147">
        <v>11</v>
      </c>
      <c r="B27" s="243">
        <f>IF($E27="","",VLOOKUP($E27,'F18 csapat ELO'!$A$7:$O$22,14))</f>
        <v>0</v>
      </c>
      <c r="C27" s="272">
        <f>IF($E27="","",VLOOKUP($E27,'F18 csapat ELO'!$A$7:$O$22,15))</f>
        <v>50</v>
      </c>
      <c r="D27" s="272">
        <f>IF($E27="","",VLOOKUP($E27,'F18 csapat ELO'!$A$7:$O$22,5))</f>
        <v>0</v>
      </c>
      <c r="E27" s="136">
        <v>5</v>
      </c>
      <c r="F27" s="155" t="str">
        <f>UPPER(IF($E27="","",VLOOKUP($E27,'F18 csapat ELO'!$A$7:$O$22,2)))</f>
        <v>MTK</v>
      </c>
      <c r="G27" s="155">
        <f>IF($E27="","",VLOOKUP($E27,'F18 csapat ELO'!$A$7:$O$22,3))</f>
        <v>0</v>
      </c>
      <c r="H27" s="155"/>
      <c r="I27" s="155">
        <f>IF($E27="","",VLOOKUP($E27,'F18 csapat ELO'!$A$7:$O$22,4))</f>
        <v>0</v>
      </c>
      <c r="J27" s="139"/>
      <c r="K27" s="138"/>
      <c r="L27" s="163"/>
      <c r="M27" s="162" t="s">
        <v>141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5" customHeight="1" x14ac:dyDescent="0.2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129</v>
      </c>
      <c r="K28" s="153" t="str">
        <f>UPPER(IF(OR(J28="a",J28="as"),F27,IF(OR(J28="b",J28="bs"),F29,)))</f>
        <v>MTK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5" customHeight="1" x14ac:dyDescent="0.2">
      <c r="A29" s="135">
        <v>12</v>
      </c>
      <c r="B29" s="243" t="str">
        <f>IF($E29="","",VLOOKUP($E29,'F18 csapat ELO'!$A$7:$O$22,14))</f>
        <v/>
      </c>
      <c r="C29" s="272" t="str">
        <f>IF($E29="","",VLOOKUP($E29,'F18 csapat ELO'!$A$7:$O$22,15))</f>
        <v/>
      </c>
      <c r="D29" s="272" t="str">
        <f>IF($E29="","",VLOOKUP($E29,'F18 csapat ELO'!$A$7:$O$22,5))</f>
        <v/>
      </c>
      <c r="E29" s="136"/>
      <c r="F29" s="137" t="str">
        <f>UPPER(IF($E29="","",VLOOKUP($E29,'F18 csapat ELO'!$A$7:$O$22,2)))</f>
        <v/>
      </c>
      <c r="G29" s="137" t="str">
        <f>IF($E29="","",VLOOKUP($E29,'F18 csapat ELO'!$A$7:$O$22,3))</f>
        <v/>
      </c>
      <c r="H29" s="137"/>
      <c r="I29" s="137" t="str">
        <f>IF($E29="","",VLOOKUP($E29,'F18 csapat ELO'!$A$7:$O$22,4))</f>
        <v/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5" customHeight="1" x14ac:dyDescent="0.2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143</v>
      </c>
      <c r="O30" s="153" t="str">
        <f>UPPER(IF(OR(N30="a",N30="as"),M26,IF(OR(N30="b",N30="bs"),M34,)))</f>
        <v>PASARÉT TK 1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5" customHeight="1" x14ac:dyDescent="0.2">
      <c r="A31" s="147">
        <v>13</v>
      </c>
      <c r="B31" s="243">
        <f>IF($E31="","",VLOOKUP($E31,'F18 csapat ELO'!$A$7:$O$22,14))</f>
        <v>0</v>
      </c>
      <c r="C31" s="272">
        <f>IF($E31="","",VLOOKUP($E31,'F18 csapat ELO'!$A$7:$O$22,15))</f>
        <v>229</v>
      </c>
      <c r="D31" s="272">
        <f>IF($E31="","",VLOOKUP($E31,'F18 csapat ELO'!$A$7:$O$22,5))</f>
        <v>0</v>
      </c>
      <c r="E31" s="136">
        <v>10</v>
      </c>
      <c r="F31" s="155" t="str">
        <f>UPPER(IF($E31="","",VLOOKUP($E31,'F18 csapat ELO'!$A$7:$O$22,2)))</f>
        <v>METRO RSC 2</v>
      </c>
      <c r="G31" s="155">
        <f>IF($E31="","",VLOOKUP($E31,'F18 csapat ELO'!$A$7:$O$22,3))</f>
        <v>0</v>
      </c>
      <c r="H31" s="155"/>
      <c r="I31" s="155">
        <f>IF($E31="","",VLOOKUP($E31,'F18 csapat ELO'!$A$7:$O$22,4))</f>
        <v>0</v>
      </c>
      <c r="J31" s="168"/>
      <c r="K31" s="138"/>
      <c r="L31" s="138"/>
      <c r="M31" s="138"/>
      <c r="N31" s="164"/>
      <c r="O31" s="138" t="s">
        <v>142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5" customHeight="1" x14ac:dyDescent="0.2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130</v>
      </c>
      <c r="K32" s="153" t="str">
        <f>UPPER(IF(OR(J32="a",J32="as"),F31,IF(OR(J32="b",J32="bs"),F33,)))</f>
        <v>NEXT TA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5" customHeight="1" x14ac:dyDescent="0.2">
      <c r="A33" s="147">
        <v>14</v>
      </c>
      <c r="B33" s="243">
        <f>IF($E33="","",VLOOKUP($E33,'F18 csapat ELO'!$A$7:$O$22,14))</f>
        <v>0</v>
      </c>
      <c r="C33" s="272">
        <f>IF($E33="","",VLOOKUP($E33,'F18 csapat ELO'!$A$7:$O$22,15))</f>
        <v>81</v>
      </c>
      <c r="D33" s="272">
        <f>IF($E33="","",VLOOKUP($E33,'F18 csapat ELO'!$A$7:$O$22,5))</f>
        <v>0</v>
      </c>
      <c r="E33" s="136">
        <v>8</v>
      </c>
      <c r="F33" s="155" t="str">
        <f>UPPER(IF($E33="","",VLOOKUP($E33,'F18 csapat ELO'!$A$7:$O$22,2)))</f>
        <v>NEXT TA</v>
      </c>
      <c r="G33" s="155">
        <f>IF($E33="","",VLOOKUP($E33,'F18 csapat ELO'!$A$7:$O$22,3))</f>
        <v>0</v>
      </c>
      <c r="H33" s="155"/>
      <c r="I33" s="155">
        <f>IF($E33="","",VLOOKUP($E33,'F18 csapat ELO'!$A$7:$O$22,4))</f>
        <v>0</v>
      </c>
      <c r="J33" s="156"/>
      <c r="K33" s="138" t="s">
        <v>140</v>
      </c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5" customHeight="1" x14ac:dyDescent="0.2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PASARÉT TK 1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5" customHeight="1" x14ac:dyDescent="0.2">
      <c r="A35" s="147">
        <v>15</v>
      </c>
      <c r="B35" s="243" t="str">
        <f>IF($E35="","",VLOOKUP($E35,'F18 csapat ELO'!$A$7:$O$22,14))</f>
        <v/>
      </c>
      <c r="C35" s="272" t="str">
        <f>IF($E35="","",VLOOKUP($E35,'F18 csapat ELO'!$A$7:$O$22,15))</f>
        <v/>
      </c>
      <c r="D35" s="272" t="str">
        <f>IF($E35="","",VLOOKUP($E35,'F18 csapat ELO'!$A$7:$O$22,5))</f>
        <v/>
      </c>
      <c r="E35" s="136"/>
      <c r="F35" s="155" t="str">
        <f>UPPER(IF($E35="","",VLOOKUP($E35,'F18 csapat ELO'!$A$7:$O$22,2)))</f>
        <v/>
      </c>
      <c r="G35" s="155" t="str">
        <f>IF($E35="","",VLOOKUP($E35,'F18 csapat ELO'!$A$7:$O$22,3))</f>
        <v/>
      </c>
      <c r="H35" s="155"/>
      <c r="I35" s="155" t="str">
        <f>IF($E35="","",VLOOKUP($E35,'F18 csapat ELO'!$A$7:$O$22,4))</f>
        <v/>
      </c>
      <c r="J35" s="139"/>
      <c r="K35" s="138"/>
      <c r="L35" s="163"/>
      <c r="M35" s="138" t="s">
        <v>142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5" customHeight="1" x14ac:dyDescent="0.2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PASARÉT TK 1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5" customHeight="1" x14ac:dyDescent="0.2">
      <c r="A37" s="135">
        <v>16</v>
      </c>
      <c r="B37" s="243">
        <f>IF($E37="","",VLOOKUP($E37,'F18 csapat ELO'!$A$7:$O$22,14))</f>
        <v>0</v>
      </c>
      <c r="C37" s="272">
        <f>IF($E37="","",VLOOKUP($E37,'F18 csapat ELO'!$A$7:$O$22,15))</f>
        <v>20</v>
      </c>
      <c r="D37" s="272">
        <f>IF($E37="","",VLOOKUP($E37,'F18 csapat ELO'!$A$7:$O$22,5))</f>
        <v>0</v>
      </c>
      <c r="E37" s="136">
        <v>2</v>
      </c>
      <c r="F37" s="137" t="str">
        <f>UPPER(IF($E37="","",VLOOKUP($E37,'F18 csapat ELO'!$A$7:$O$22,2)))</f>
        <v>PASARÉT TK 1</v>
      </c>
      <c r="G37" s="137">
        <f>IF($E37="","",VLOOKUP($E37,'F18 csapat ELO'!$A$7:$O$22,3))</f>
        <v>0</v>
      </c>
      <c r="H37" s="155"/>
      <c r="I37" s="137">
        <f>IF($E37="","",VLOOKUP($E37,'F18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IF(E50&gt;$R$57,,UPPER(VLOOKUP(E50,'F18 csapat ELO'!$A$7:$Q$134,2)))</f>
        <v>VASAS SC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IF(E51&gt;$R$57,,UPPER(VLOOKUP(E51,'F18 csapat ELO'!$A$7:$Q$134,2)))</f>
        <v>PASARÉT TK 1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">
      <c r="A52" s="236"/>
      <c r="B52" s="237"/>
      <c r="C52" s="274"/>
      <c r="D52" s="238"/>
      <c r="E52" s="197">
        <v>3</v>
      </c>
      <c r="F52" s="87" t="str">
        <f>IF(E52&gt;$R$57,,UPPER(VLOOKUP(E52,'F18 csapat ELO'!$A$7:$Q$134,2)))</f>
        <v>PG TENISZ 1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">
      <c r="A53" s="211"/>
      <c r="B53" s="269"/>
      <c r="C53" s="269"/>
      <c r="D53" s="212"/>
      <c r="E53" s="197">
        <v>4</v>
      </c>
      <c r="F53" s="87" t="str">
        <f>IF(E53&gt;$R$57,,UPPER(VLOOKUP(E53,'F18 csapat ELO'!$A$7:$Q$134,2)))</f>
        <v>PASARÉT TK 2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MIN(4,'F18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13" priority="14" stopIfTrue="1">
      <formula>AND($E7&lt;9,$C7&gt;0)</formula>
    </cfRule>
  </conditionalFormatting>
  <conditionalFormatting sqref="I32 I46 I36 K44 I42 K10 M14 K18 K26 K34 M30 M40 O22 I8 I12 I16 I20 I24 I28">
    <cfRule type="expression" dxfId="12" priority="11" stopIfTrue="1">
      <formula>AND($O$1="CU",I8="Umpire")</formula>
    </cfRule>
    <cfRule type="expression" dxfId="11" priority="12" stopIfTrue="1">
      <formula>AND($O$1="CU",I8&lt;&gt;"Umpire",J8&lt;&gt;"")</formula>
    </cfRule>
    <cfRule type="expression" dxfId="10" priority="13" stopIfTrue="1">
      <formula>AND($O$1="CU",I8&lt;&gt;"Umpire")</formula>
    </cfRule>
  </conditionalFormatting>
  <conditionalFormatting sqref="E39 E47 E45 E43 E41">
    <cfRule type="expression" dxfId="9" priority="10" stopIfTrue="1">
      <formula>AND($E39&lt;9,$C39&gt;0)</formula>
    </cfRule>
  </conditionalFormatting>
  <conditionalFormatting sqref="F41 F43 F45 F47 F39">
    <cfRule type="cellIs" dxfId="8" priority="8" stopIfTrue="1" operator="equal">
      <formula>"Bye"</formula>
    </cfRule>
    <cfRule type="expression" dxfId="7" priority="9" stopIfTrue="1">
      <formula>AND($E39&lt;9,$C39&gt;0)</formula>
    </cfRule>
  </conditionalFormatting>
  <conditionalFormatting sqref="M10 M18 M26 M34 O30 O40 M44 O14 Q22 K8 K12 K16 K20 K24 K28 K32 K36 K42 K46">
    <cfRule type="expression" dxfId="6" priority="6" stopIfTrue="1">
      <formula>J8="as"</formula>
    </cfRule>
    <cfRule type="expression" dxfId="5" priority="7" stopIfTrue="1">
      <formula>J8="bs"</formula>
    </cfRule>
  </conditionalFormatting>
  <conditionalFormatting sqref="B41 B43 B45 B47 B39">
    <cfRule type="cellIs" dxfId="4" priority="4" stopIfTrue="1" operator="equal">
      <formula>"QA"</formula>
    </cfRule>
    <cfRule type="cellIs" dxfId="3" priority="5" stopIfTrue="1" operator="equal">
      <formula>"DA"</formula>
    </cfRule>
  </conditionalFormatting>
  <conditionalFormatting sqref="R57 J8 J12 J16 J20 J24 J28 J32 J36 N30 N14 L10 L34 L18 L26 P22">
    <cfRule type="expression" dxfId="2" priority="3" stopIfTrue="1">
      <formula>$O$1="CU"</formula>
    </cfRule>
  </conditionalFormatting>
  <conditionalFormatting sqref="E9 E7 E11 E13 E15 E17 E19 E21 E23 E25 E27 E29 E31 E33 E35 E37">
    <cfRule type="expression" dxfId="1" priority="2" stopIfTrue="1">
      <formula>$E7&lt;5</formula>
    </cfRule>
  </conditionalFormatting>
  <conditionalFormatting sqref="F35 F37 F25 F33 F31 F29 F27 F23 F19 F21 F9 F17 F15 F13 F11 F7">
    <cfRule type="cellIs" dxfId="0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8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34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41" customWidth="1"/>
    <col min="15" max="15" width="8.5703125" customWidth="1"/>
    <col min="16" max="16" width="11.5703125" hidden="1" customWidth="1"/>
  </cols>
  <sheetData>
    <row r="1" spans="1:14" ht="26.25" x14ac:dyDescent="0.25">
      <c r="A1" s="42" t="str">
        <f>Altalanos!$A$6</f>
        <v>Budapest Bajnokság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25">
      <c r="A3" s="47"/>
      <c r="B3" s="48" t="s">
        <v>24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75" x14ac:dyDescent="0.2">
      <c r="A4" s="51" t="s">
        <v>25</v>
      </c>
      <c r="B4" s="49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">
      <c r="A5" s="54" t="str">
        <f>Altalanos!$A$10</f>
        <v>2025.06.19-29.</v>
      </c>
      <c r="B5" s="55" t="str">
        <f>Altalanos!$C$10</f>
        <v>Budapest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25">
      <c r="A6" s="440" t="s">
        <v>26</v>
      </c>
      <c r="B6" s="440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">
      <c r="A9" s="65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</row>
    <row r="10" spans="1:14" s="18" customFormat="1" ht="9.75" hidden="1" x14ac:dyDescent="0.2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">
      <c r="A11" s="70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75" hidden="1" x14ac:dyDescent="0.2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">
      <c r="A14" s="65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</row>
    <row r="15" spans="1:14" s="18" customFormat="1" ht="9.75" hidden="1" x14ac:dyDescent="0.2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">
      <c r="A16" s="70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75" hidden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">
      <c r="A19" s="71"/>
      <c r="B19" s="7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231" t="s">
        <v>27</v>
      </c>
      <c r="B20" s="232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</row>
    <row r="21" spans="1:16" s="18" customFormat="1" ht="9.75" x14ac:dyDescent="0.2">
      <c r="A21" s="72" t="s">
        <v>28</v>
      </c>
      <c r="B21" s="73" t="s">
        <v>29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4" t="s">
        <v>60</v>
      </c>
    </row>
    <row r="22" spans="1:16" s="18" customFormat="1" ht="19.5" customHeight="1" x14ac:dyDescent="0.2">
      <c r="A22" s="75"/>
      <c r="B22" s="7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7" t="str">
        <f t="shared" ref="P22:P29" si="0">LEFT(B22,1)&amp;" "&amp;A22</f>
        <v xml:space="preserve"> </v>
      </c>
    </row>
    <row r="23" spans="1:16" s="18" customFormat="1" ht="19.5" customHeight="1" x14ac:dyDescent="0.2">
      <c r="A23" s="75"/>
      <c r="B23" s="7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7" t="str">
        <f t="shared" si="0"/>
        <v xml:space="preserve"> </v>
      </c>
    </row>
    <row r="24" spans="1:16" s="18" customFormat="1" ht="19.5" customHeight="1" x14ac:dyDescent="0.2">
      <c r="A24" s="75"/>
      <c r="B24" s="7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7" t="str">
        <f t="shared" si="0"/>
        <v xml:space="preserve"> </v>
      </c>
    </row>
    <row r="25" spans="1:16" s="2" customFormat="1" ht="19.5" customHeight="1" x14ac:dyDescent="0.2">
      <c r="A25" s="75"/>
      <c r="B25" s="7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7" t="str">
        <f t="shared" si="0"/>
        <v xml:space="preserve"> </v>
      </c>
    </row>
    <row r="26" spans="1:16" s="2" customFormat="1" ht="19.5" customHeight="1" x14ac:dyDescent="0.2">
      <c r="A26" s="75"/>
      <c r="B26" s="7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7" t="str">
        <f t="shared" si="0"/>
        <v xml:space="preserve"> </v>
      </c>
    </row>
    <row r="27" spans="1:16" s="2" customFormat="1" ht="19.5" customHeight="1" x14ac:dyDescent="0.2">
      <c r="A27" s="75"/>
      <c r="B27" s="7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7" t="str">
        <f t="shared" si="0"/>
        <v xml:space="preserve"> </v>
      </c>
    </row>
    <row r="28" spans="1:16" s="2" customFormat="1" ht="19.5" customHeight="1" x14ac:dyDescent="0.2">
      <c r="A28" s="75"/>
      <c r="B28" s="7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7" t="str">
        <f t="shared" si="0"/>
        <v xml:space="preserve"> </v>
      </c>
    </row>
    <row r="29" spans="1:16" s="2" customFormat="1" ht="19.5" customHeight="1" thickBot="1" x14ac:dyDescent="0.25">
      <c r="A29" s="78"/>
      <c r="B29" s="79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7" t="str">
        <f t="shared" si="0"/>
        <v xml:space="preserve"> </v>
      </c>
    </row>
    <row r="30" spans="1:16" ht="13.5" thickBo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80"/>
      <c r="P30" s="81" t="s">
        <v>61</v>
      </c>
    </row>
    <row r="31" spans="1:16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80"/>
    </row>
    <row r="32" spans="1:16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80"/>
    </row>
    <row r="33" spans="1:14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80"/>
    </row>
    <row r="34" spans="1:1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80"/>
    </row>
    <row r="35" spans="1:1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80"/>
    </row>
    <row r="36" spans="1:14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80"/>
    </row>
    <row r="37" spans="1:14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80"/>
    </row>
    <row r="38" spans="1:1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80"/>
    </row>
    <row r="39" spans="1:1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80"/>
    </row>
    <row r="40" spans="1:1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0"/>
    </row>
    <row r="41" spans="1:1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</row>
    <row r="42" spans="1:1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4" sqref="B14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41" customWidth="1"/>
    <col min="5" max="5" width="10.5703125" style="418" customWidth="1"/>
    <col min="6" max="6" width="6.140625" style="94" hidden="1" customWidth="1"/>
    <col min="7" max="7" width="28.7109375" style="94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5" thickBot="1" x14ac:dyDescent="0.25">
      <c r="B2" s="90" t="s">
        <v>51</v>
      </c>
      <c r="C2" s="90" t="str">
        <f>Altalanos!$A$8</f>
        <v>F12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5" thickBot="1" x14ac:dyDescent="0.25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5" thickBot="1" x14ac:dyDescent="0.25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25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95" customHeight="1" thickBot="1" x14ac:dyDescent="0.25">
      <c r="A7" s="253">
        <v>1</v>
      </c>
      <c r="B7" s="96" t="s">
        <v>115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45</v>
      </c>
      <c r="P7" s="116"/>
      <c r="Q7" s="98"/>
    </row>
    <row r="8" spans="1:17" s="11" customFormat="1" ht="18.95" customHeight="1" x14ac:dyDescent="0.2">
      <c r="A8" s="253">
        <v>2</v>
      </c>
      <c r="B8" s="96" t="s">
        <v>96</v>
      </c>
      <c r="C8" s="96"/>
      <c r="D8" s="97"/>
      <c r="E8" s="268"/>
      <c r="F8" s="399"/>
      <c r="G8" s="400"/>
      <c r="H8" s="97"/>
      <c r="I8" s="97"/>
      <c r="J8" s="250"/>
      <c r="K8" s="248"/>
      <c r="L8" s="252"/>
      <c r="M8" s="248"/>
      <c r="N8" s="241"/>
      <c r="O8" s="429">
        <v>46</v>
      </c>
      <c r="P8" s="116"/>
      <c r="Q8" s="98"/>
    </row>
    <row r="9" spans="1:17" s="11" customFormat="1" ht="18.95" customHeight="1" x14ac:dyDescent="0.2">
      <c r="A9" s="253">
        <v>3</v>
      </c>
      <c r="B9" s="96" t="s">
        <v>99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56</v>
      </c>
      <c r="P9" s="412"/>
      <c r="Q9" s="283"/>
    </row>
    <row r="10" spans="1:17" s="11" customFormat="1" ht="18.95" customHeight="1" x14ac:dyDescent="0.2">
      <c r="A10" s="253">
        <v>4</v>
      </c>
      <c r="B10" s="96" t="s">
        <v>100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83</v>
      </c>
      <c r="P10" s="411"/>
      <c r="Q10" s="408"/>
    </row>
    <row r="11" spans="1:17" s="11" customFormat="1" ht="18.95" customHeight="1" x14ac:dyDescent="0.2">
      <c r="A11" s="253">
        <v>5</v>
      </c>
      <c r="B11" s="96" t="s">
        <v>101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147</v>
      </c>
      <c r="P11" s="411"/>
      <c r="Q11" s="408"/>
    </row>
    <row r="12" spans="1:17" s="11" customFormat="1" ht="18.95" customHeight="1" x14ac:dyDescent="0.2">
      <c r="A12" s="253">
        <v>6</v>
      </c>
      <c r="B12" s="96" t="s">
        <v>102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158</v>
      </c>
      <c r="P12" s="411"/>
      <c r="Q12" s="408"/>
    </row>
    <row r="13" spans="1:17" s="11" customFormat="1" ht="18.95" customHeight="1" x14ac:dyDescent="0.2">
      <c r="A13" s="253">
        <v>7</v>
      </c>
      <c r="B13" s="96" t="s">
        <v>103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161</v>
      </c>
      <c r="P13" s="411"/>
      <c r="Q13" s="408"/>
    </row>
    <row r="14" spans="1:17" s="11" customFormat="1" ht="18.95" customHeight="1" x14ac:dyDescent="0.2">
      <c r="A14" s="253">
        <v>8</v>
      </c>
      <c r="B14" s="96" t="s">
        <v>123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252</v>
      </c>
      <c r="P14" s="411"/>
      <c r="Q14" s="408"/>
    </row>
    <row r="15" spans="1:17" s="11" customFormat="1" ht="18.95" customHeight="1" x14ac:dyDescent="0.2">
      <c r="A15" s="253">
        <v>9</v>
      </c>
      <c r="B15" s="96"/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/>
      <c r="P15" s="98"/>
      <c r="Q15" s="98"/>
    </row>
    <row r="16" spans="1:17" s="11" customFormat="1" ht="18.95" customHeight="1" x14ac:dyDescent="0.2">
      <c r="A16" s="253">
        <v>10</v>
      </c>
      <c r="B16" s="428"/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/>
      <c r="P16" s="116"/>
      <c r="Q16" s="98"/>
    </row>
    <row r="17" spans="1:17" s="11" customFormat="1" ht="18.95" customHeight="1" x14ac:dyDescent="0.2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95" customHeight="1" x14ac:dyDescent="0.2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95" customHeight="1" x14ac:dyDescent="0.2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95" customHeight="1" x14ac:dyDescent="0.2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95" customHeight="1" x14ac:dyDescent="0.2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95" customHeight="1" x14ac:dyDescent="0.2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95" customHeight="1" x14ac:dyDescent="0.2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95" customHeight="1" x14ac:dyDescent="0.2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95" customHeight="1" x14ac:dyDescent="0.2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95" customHeight="1" x14ac:dyDescent="0.2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95" customHeight="1" x14ac:dyDescent="0.2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95" customHeight="1" x14ac:dyDescent="0.2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95" customHeight="1" x14ac:dyDescent="0.2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95" customHeight="1" x14ac:dyDescent="0.2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95" customHeight="1" x14ac:dyDescent="0.2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95" customHeight="1" x14ac:dyDescent="0.2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95" customHeight="1" x14ac:dyDescent="0.2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95" customHeight="1" x14ac:dyDescent="0.2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95" customHeight="1" x14ac:dyDescent="0.2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95" customHeight="1" x14ac:dyDescent="0.2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95" customHeight="1" x14ac:dyDescent="0.2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95" customHeight="1" x14ac:dyDescent="0.2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95" customHeight="1" x14ac:dyDescent="0.2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95" customHeight="1" x14ac:dyDescent="0.2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71" si="0">IF(Q40="",999,Q40)</f>
        <v>999</v>
      </c>
      <c r="M40" s="288">
        <f t="shared" ref="M40:M71" si="1">IF(P40=999,999,1)</f>
        <v>999</v>
      </c>
      <c r="N40" s="283"/>
      <c r="O40" s="245"/>
      <c r="P40" s="116">
        <f t="shared" ref="P40:P71" si="2">IF(N40="DA",1,IF(N40="WC",2,IF(N40="SE",3,IF(N40="Q",4,IF(N40="LL",5,999)))))</f>
        <v>999</v>
      </c>
      <c r="Q40" s="98"/>
    </row>
    <row r="41" spans="1:17" s="11" customFormat="1" ht="18.95" customHeight="1" x14ac:dyDescent="0.2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95" customHeight="1" x14ac:dyDescent="0.2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95" customHeight="1" x14ac:dyDescent="0.2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95" customHeight="1" x14ac:dyDescent="0.2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95" customHeight="1" x14ac:dyDescent="0.2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95" customHeight="1" x14ac:dyDescent="0.2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95" customHeight="1" x14ac:dyDescent="0.2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95" customHeight="1" x14ac:dyDescent="0.2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95" customHeight="1" x14ac:dyDescent="0.2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95" customHeight="1" x14ac:dyDescent="0.2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95" customHeight="1" x14ac:dyDescent="0.2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95" customHeight="1" x14ac:dyDescent="0.2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95" customHeight="1" x14ac:dyDescent="0.2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95" customHeight="1" x14ac:dyDescent="0.2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95" customHeight="1" x14ac:dyDescent="0.2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95" customHeight="1" x14ac:dyDescent="0.2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95" customHeight="1" x14ac:dyDescent="0.2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95" customHeight="1" x14ac:dyDescent="0.2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95" customHeight="1" x14ac:dyDescent="0.2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95" customHeight="1" x14ac:dyDescent="0.2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95" customHeight="1" x14ac:dyDescent="0.2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95" customHeight="1" x14ac:dyDescent="0.2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95" customHeight="1" x14ac:dyDescent="0.2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95" customHeight="1" x14ac:dyDescent="0.2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95" customHeight="1" x14ac:dyDescent="0.2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95" customHeight="1" x14ac:dyDescent="0.2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95" customHeight="1" x14ac:dyDescent="0.2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95" customHeight="1" x14ac:dyDescent="0.2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95" customHeight="1" x14ac:dyDescent="0.2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95" customHeight="1" x14ac:dyDescent="0.2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95" customHeight="1" x14ac:dyDescent="0.2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95" customHeight="1" x14ac:dyDescent="0.2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ref="L72:L100" si="3">IF(Q72="",999,Q72)</f>
        <v>999</v>
      </c>
      <c r="M72" s="288">
        <f t="shared" ref="M72:M100" si="4">IF(P72=999,999,1)</f>
        <v>999</v>
      </c>
      <c r="N72" s="283"/>
      <c r="O72" s="245"/>
      <c r="P72" s="116">
        <f t="shared" ref="P72:P100" si="5">IF(N72="DA",1,IF(N72="WC",2,IF(N72="SE",3,IF(N72="Q",4,IF(N72="LL",5,999)))))</f>
        <v>999</v>
      </c>
      <c r="Q72" s="98"/>
    </row>
    <row r="73" spans="1:17" s="11" customFormat="1" ht="18.95" customHeight="1" x14ac:dyDescent="0.2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3"/>
        <v>999</v>
      </c>
      <c r="M73" s="288">
        <f t="shared" si="4"/>
        <v>999</v>
      </c>
      <c r="N73" s="283"/>
      <c r="O73" s="245"/>
      <c r="P73" s="116">
        <f t="shared" si="5"/>
        <v>999</v>
      </c>
      <c r="Q73" s="98"/>
    </row>
    <row r="74" spans="1:17" s="11" customFormat="1" ht="18.95" customHeight="1" x14ac:dyDescent="0.2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3"/>
        <v>999</v>
      </c>
      <c r="M74" s="288">
        <f t="shared" si="4"/>
        <v>999</v>
      </c>
      <c r="N74" s="283"/>
      <c r="O74" s="245"/>
      <c r="P74" s="116">
        <f t="shared" si="5"/>
        <v>999</v>
      </c>
      <c r="Q74" s="98"/>
    </row>
    <row r="75" spans="1:17" s="11" customFormat="1" ht="18.95" customHeight="1" x14ac:dyDescent="0.2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3"/>
        <v>999</v>
      </c>
      <c r="M75" s="288">
        <f t="shared" si="4"/>
        <v>999</v>
      </c>
      <c r="N75" s="283"/>
      <c r="O75" s="245"/>
      <c r="P75" s="116">
        <f t="shared" si="5"/>
        <v>999</v>
      </c>
      <c r="Q75" s="98"/>
    </row>
    <row r="76" spans="1:17" s="11" customFormat="1" ht="18.95" customHeight="1" x14ac:dyDescent="0.2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3"/>
        <v>999</v>
      </c>
      <c r="M76" s="288">
        <f t="shared" si="4"/>
        <v>999</v>
      </c>
      <c r="N76" s="283"/>
      <c r="O76" s="245"/>
      <c r="P76" s="116">
        <f t="shared" si="5"/>
        <v>999</v>
      </c>
      <c r="Q76" s="98"/>
    </row>
    <row r="77" spans="1:17" s="11" customFormat="1" ht="18.95" customHeight="1" x14ac:dyDescent="0.2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3"/>
        <v>999</v>
      </c>
      <c r="M77" s="288">
        <f t="shared" si="4"/>
        <v>999</v>
      </c>
      <c r="N77" s="283"/>
      <c r="O77" s="245"/>
      <c r="P77" s="116">
        <f t="shared" si="5"/>
        <v>999</v>
      </c>
      <c r="Q77" s="98"/>
    </row>
    <row r="78" spans="1:17" s="11" customFormat="1" ht="18.95" customHeight="1" x14ac:dyDescent="0.2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3"/>
        <v>999</v>
      </c>
      <c r="M78" s="288">
        <f t="shared" si="4"/>
        <v>999</v>
      </c>
      <c r="N78" s="283"/>
      <c r="O78" s="245"/>
      <c r="P78" s="116">
        <f t="shared" si="5"/>
        <v>999</v>
      </c>
      <c r="Q78" s="98"/>
    </row>
    <row r="79" spans="1:17" s="11" customFormat="1" ht="18.95" customHeight="1" x14ac:dyDescent="0.2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3"/>
        <v>999</v>
      </c>
      <c r="M79" s="288">
        <f t="shared" si="4"/>
        <v>999</v>
      </c>
      <c r="N79" s="283"/>
      <c r="O79" s="245"/>
      <c r="P79" s="116">
        <f t="shared" si="5"/>
        <v>999</v>
      </c>
      <c r="Q79" s="98"/>
    </row>
    <row r="80" spans="1:17" s="11" customFormat="1" ht="18.95" customHeight="1" x14ac:dyDescent="0.2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3"/>
        <v>999</v>
      </c>
      <c r="M80" s="288">
        <f t="shared" si="4"/>
        <v>999</v>
      </c>
      <c r="N80" s="283"/>
      <c r="O80" s="245"/>
      <c r="P80" s="116">
        <f t="shared" si="5"/>
        <v>999</v>
      </c>
      <c r="Q80" s="98"/>
    </row>
    <row r="81" spans="1:17" s="11" customFormat="1" ht="18.95" customHeight="1" x14ac:dyDescent="0.2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3"/>
        <v>999</v>
      </c>
      <c r="M81" s="288">
        <f t="shared" si="4"/>
        <v>999</v>
      </c>
      <c r="N81" s="283"/>
      <c r="O81" s="245"/>
      <c r="P81" s="116">
        <f t="shared" si="5"/>
        <v>999</v>
      </c>
      <c r="Q81" s="98"/>
    </row>
    <row r="82" spans="1:17" s="11" customFormat="1" ht="18.95" customHeight="1" x14ac:dyDescent="0.2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3"/>
        <v>999</v>
      </c>
      <c r="M82" s="288">
        <f t="shared" si="4"/>
        <v>999</v>
      </c>
      <c r="N82" s="283"/>
      <c r="O82" s="245"/>
      <c r="P82" s="116">
        <f t="shared" si="5"/>
        <v>999</v>
      </c>
      <c r="Q82" s="98"/>
    </row>
    <row r="83" spans="1:17" s="11" customFormat="1" ht="18.95" customHeight="1" x14ac:dyDescent="0.2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3"/>
        <v>999</v>
      </c>
      <c r="M83" s="288">
        <f t="shared" si="4"/>
        <v>999</v>
      </c>
      <c r="N83" s="283"/>
      <c r="O83" s="245"/>
      <c r="P83" s="116">
        <f t="shared" si="5"/>
        <v>999</v>
      </c>
      <c r="Q83" s="98"/>
    </row>
    <row r="84" spans="1:17" s="11" customFormat="1" ht="18.95" customHeight="1" x14ac:dyDescent="0.2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3"/>
        <v>999</v>
      </c>
      <c r="M84" s="288">
        <f t="shared" si="4"/>
        <v>999</v>
      </c>
      <c r="N84" s="283"/>
      <c r="O84" s="245"/>
      <c r="P84" s="116">
        <f t="shared" si="5"/>
        <v>999</v>
      </c>
      <c r="Q84" s="98"/>
    </row>
    <row r="85" spans="1:17" s="11" customFormat="1" ht="18.95" customHeight="1" x14ac:dyDescent="0.2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3"/>
        <v>999</v>
      </c>
      <c r="M85" s="288">
        <f t="shared" si="4"/>
        <v>999</v>
      </c>
      <c r="N85" s="283"/>
      <c r="O85" s="245"/>
      <c r="P85" s="116">
        <f t="shared" si="5"/>
        <v>999</v>
      </c>
      <c r="Q85" s="98"/>
    </row>
    <row r="86" spans="1:17" s="11" customFormat="1" ht="18.95" customHeight="1" x14ac:dyDescent="0.2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3"/>
        <v>999</v>
      </c>
      <c r="M86" s="288">
        <f t="shared" si="4"/>
        <v>999</v>
      </c>
      <c r="N86" s="283"/>
      <c r="O86" s="245"/>
      <c r="P86" s="116">
        <f t="shared" si="5"/>
        <v>999</v>
      </c>
      <c r="Q86" s="98"/>
    </row>
    <row r="87" spans="1:17" s="11" customFormat="1" ht="18.95" customHeight="1" x14ac:dyDescent="0.2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3"/>
        <v>999</v>
      </c>
      <c r="M87" s="288">
        <f t="shared" si="4"/>
        <v>999</v>
      </c>
      <c r="N87" s="283"/>
      <c r="O87" s="245"/>
      <c r="P87" s="116">
        <f t="shared" si="5"/>
        <v>999</v>
      </c>
      <c r="Q87" s="98"/>
    </row>
    <row r="88" spans="1:17" s="11" customFormat="1" ht="18.95" customHeight="1" x14ac:dyDescent="0.2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3"/>
        <v>999</v>
      </c>
      <c r="M88" s="288">
        <f t="shared" si="4"/>
        <v>999</v>
      </c>
      <c r="N88" s="283"/>
      <c r="O88" s="245"/>
      <c r="P88" s="116">
        <f t="shared" si="5"/>
        <v>999</v>
      </c>
      <c r="Q88" s="98"/>
    </row>
    <row r="89" spans="1:17" s="11" customFormat="1" ht="18.95" customHeight="1" x14ac:dyDescent="0.2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3"/>
        <v>999</v>
      </c>
      <c r="M89" s="288">
        <f t="shared" si="4"/>
        <v>999</v>
      </c>
      <c r="N89" s="283"/>
      <c r="O89" s="245"/>
      <c r="P89" s="116">
        <f t="shared" si="5"/>
        <v>999</v>
      </c>
      <c r="Q89" s="98"/>
    </row>
    <row r="90" spans="1:17" s="11" customFormat="1" ht="18.95" customHeight="1" x14ac:dyDescent="0.2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3"/>
        <v>999</v>
      </c>
      <c r="M90" s="288">
        <f t="shared" si="4"/>
        <v>999</v>
      </c>
      <c r="N90" s="283"/>
      <c r="O90" s="245"/>
      <c r="P90" s="116">
        <f t="shared" si="5"/>
        <v>999</v>
      </c>
      <c r="Q90" s="98"/>
    </row>
    <row r="91" spans="1:17" s="11" customFormat="1" ht="18.95" customHeight="1" x14ac:dyDescent="0.2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3"/>
        <v>999</v>
      </c>
      <c r="M91" s="288">
        <f t="shared" si="4"/>
        <v>999</v>
      </c>
      <c r="N91" s="283"/>
      <c r="O91" s="245"/>
      <c r="P91" s="116">
        <f t="shared" si="5"/>
        <v>999</v>
      </c>
      <c r="Q91" s="98"/>
    </row>
    <row r="92" spans="1:17" s="11" customFormat="1" ht="18.95" customHeight="1" x14ac:dyDescent="0.2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3"/>
        <v>999</v>
      </c>
      <c r="M92" s="288">
        <f t="shared" si="4"/>
        <v>999</v>
      </c>
      <c r="N92" s="283"/>
      <c r="O92" s="245"/>
      <c r="P92" s="116">
        <f t="shared" si="5"/>
        <v>999</v>
      </c>
      <c r="Q92" s="98"/>
    </row>
    <row r="93" spans="1:17" s="11" customFormat="1" ht="18.95" customHeight="1" x14ac:dyDescent="0.2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3"/>
        <v>999</v>
      </c>
      <c r="M93" s="288">
        <f t="shared" si="4"/>
        <v>999</v>
      </c>
      <c r="N93" s="283"/>
      <c r="O93" s="245"/>
      <c r="P93" s="116">
        <f t="shared" si="5"/>
        <v>999</v>
      </c>
      <c r="Q93" s="98"/>
    </row>
    <row r="94" spans="1:17" s="11" customFormat="1" ht="18.95" customHeight="1" x14ac:dyDescent="0.2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3"/>
        <v>999</v>
      </c>
      <c r="M94" s="288">
        <f t="shared" si="4"/>
        <v>999</v>
      </c>
      <c r="N94" s="283"/>
      <c r="O94" s="245"/>
      <c r="P94" s="116">
        <f t="shared" si="5"/>
        <v>999</v>
      </c>
      <c r="Q94" s="98"/>
    </row>
    <row r="95" spans="1:17" s="11" customFormat="1" ht="18.95" customHeight="1" x14ac:dyDescent="0.2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3"/>
        <v>999</v>
      </c>
      <c r="M95" s="288">
        <f t="shared" si="4"/>
        <v>999</v>
      </c>
      <c r="N95" s="283"/>
      <c r="O95" s="245"/>
      <c r="P95" s="116">
        <f t="shared" si="5"/>
        <v>999</v>
      </c>
      <c r="Q95" s="98"/>
    </row>
    <row r="96" spans="1:17" s="11" customFormat="1" ht="18.95" customHeight="1" x14ac:dyDescent="0.2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3"/>
        <v>999</v>
      </c>
      <c r="M96" s="288">
        <f t="shared" si="4"/>
        <v>999</v>
      </c>
      <c r="N96" s="283"/>
      <c r="O96" s="245"/>
      <c r="P96" s="116">
        <f t="shared" si="5"/>
        <v>999</v>
      </c>
      <c r="Q96" s="98"/>
    </row>
    <row r="97" spans="1:17" s="11" customFormat="1" ht="18.95" customHeight="1" x14ac:dyDescent="0.2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3"/>
        <v>999</v>
      </c>
      <c r="M97" s="288">
        <f t="shared" si="4"/>
        <v>999</v>
      </c>
      <c r="N97" s="283"/>
      <c r="O97" s="245"/>
      <c r="P97" s="116">
        <f t="shared" si="5"/>
        <v>999</v>
      </c>
      <c r="Q97" s="98"/>
    </row>
    <row r="98" spans="1:17" s="11" customFormat="1" ht="18.95" customHeight="1" x14ac:dyDescent="0.2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3"/>
        <v>999</v>
      </c>
      <c r="M98" s="288">
        <f t="shared" si="4"/>
        <v>999</v>
      </c>
      <c r="N98" s="283"/>
      <c r="O98" s="245"/>
      <c r="P98" s="116">
        <f t="shared" si="5"/>
        <v>999</v>
      </c>
      <c r="Q98" s="98"/>
    </row>
    <row r="99" spans="1:17" s="11" customFormat="1" ht="18.95" customHeight="1" x14ac:dyDescent="0.2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3"/>
        <v>999</v>
      </c>
      <c r="M99" s="288">
        <f t="shared" si="4"/>
        <v>999</v>
      </c>
      <c r="N99" s="283"/>
      <c r="O99" s="245"/>
      <c r="P99" s="116">
        <f t="shared" si="5"/>
        <v>999</v>
      </c>
      <c r="Q99" s="98"/>
    </row>
    <row r="100" spans="1:17" s="11" customFormat="1" ht="18.95" customHeight="1" x14ac:dyDescent="0.2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3"/>
        <v>999</v>
      </c>
      <c r="M100" s="288">
        <f t="shared" si="4"/>
        <v>999</v>
      </c>
      <c r="N100" s="283"/>
      <c r="O100" s="245"/>
      <c r="P100" s="116">
        <f t="shared" si="5"/>
        <v>999</v>
      </c>
      <c r="Q100" s="98"/>
    </row>
    <row r="101" spans="1:17" s="11" customFormat="1" ht="18.95" customHeight="1" x14ac:dyDescent="0.2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ref="L101:L134" si="6">IF(Q101="",999,Q101)</f>
        <v>999</v>
      </c>
      <c r="M101" s="288">
        <f t="shared" ref="M101:M134" si="7">IF(P101=999,999,1)</f>
        <v>999</v>
      </c>
      <c r="N101" s="283"/>
      <c r="O101" s="245"/>
      <c r="P101" s="116">
        <f t="shared" ref="P101:P134" si="8">IF(N101="DA",1,IF(N101="WC",2,IF(N101="SE",3,IF(N101="Q",4,IF(N101="LL",5,999)))))</f>
        <v>999</v>
      </c>
      <c r="Q101" s="98"/>
    </row>
    <row r="102" spans="1:17" s="11" customFormat="1" ht="18.95" customHeight="1" x14ac:dyDescent="0.2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6"/>
        <v>999</v>
      </c>
      <c r="M102" s="288">
        <f t="shared" si="7"/>
        <v>999</v>
      </c>
      <c r="N102" s="283"/>
      <c r="O102" s="245"/>
      <c r="P102" s="116">
        <f t="shared" si="8"/>
        <v>999</v>
      </c>
      <c r="Q102" s="98"/>
    </row>
    <row r="103" spans="1:17" s="11" customFormat="1" ht="18.95" customHeight="1" x14ac:dyDescent="0.2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6"/>
        <v>999</v>
      </c>
      <c r="M103" s="288">
        <f t="shared" si="7"/>
        <v>999</v>
      </c>
      <c r="N103" s="283"/>
      <c r="O103" s="245"/>
      <c r="P103" s="116">
        <f t="shared" si="8"/>
        <v>999</v>
      </c>
      <c r="Q103" s="98"/>
    </row>
    <row r="104" spans="1:17" s="11" customFormat="1" ht="18.95" customHeight="1" x14ac:dyDescent="0.2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si="6"/>
        <v>999</v>
      </c>
      <c r="M104" s="288">
        <f t="shared" si="7"/>
        <v>999</v>
      </c>
      <c r="N104" s="283"/>
      <c r="O104" s="245"/>
      <c r="P104" s="116">
        <f t="shared" si="8"/>
        <v>999</v>
      </c>
      <c r="Q104" s="98"/>
    </row>
    <row r="105" spans="1:17" s="11" customFormat="1" ht="18.95" customHeight="1" x14ac:dyDescent="0.2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6"/>
        <v>999</v>
      </c>
      <c r="M105" s="288">
        <f t="shared" si="7"/>
        <v>999</v>
      </c>
      <c r="N105" s="283"/>
      <c r="O105" s="245"/>
      <c r="P105" s="116">
        <f t="shared" si="8"/>
        <v>999</v>
      </c>
      <c r="Q105" s="98"/>
    </row>
    <row r="106" spans="1:17" s="11" customFormat="1" ht="18.95" customHeight="1" x14ac:dyDescent="0.2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6"/>
        <v>999</v>
      </c>
      <c r="M106" s="288">
        <f t="shared" si="7"/>
        <v>999</v>
      </c>
      <c r="N106" s="283"/>
      <c r="O106" s="245"/>
      <c r="P106" s="116">
        <f t="shared" si="8"/>
        <v>999</v>
      </c>
      <c r="Q106" s="98"/>
    </row>
    <row r="107" spans="1:17" s="11" customFormat="1" ht="18.95" customHeight="1" x14ac:dyDescent="0.2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6"/>
        <v>999</v>
      </c>
      <c r="M107" s="288">
        <f t="shared" si="7"/>
        <v>999</v>
      </c>
      <c r="N107" s="283"/>
      <c r="O107" s="245"/>
      <c r="P107" s="116">
        <f t="shared" si="8"/>
        <v>999</v>
      </c>
      <c r="Q107" s="98"/>
    </row>
    <row r="108" spans="1:17" s="11" customFormat="1" ht="18.95" customHeight="1" x14ac:dyDescent="0.2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6"/>
        <v>999</v>
      </c>
      <c r="M108" s="288">
        <f t="shared" si="7"/>
        <v>999</v>
      </c>
      <c r="N108" s="283"/>
      <c r="O108" s="245"/>
      <c r="P108" s="116">
        <f t="shared" si="8"/>
        <v>999</v>
      </c>
      <c r="Q108" s="98"/>
    </row>
    <row r="109" spans="1:17" s="11" customFormat="1" ht="18.95" customHeight="1" x14ac:dyDescent="0.2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6"/>
        <v>999</v>
      </c>
      <c r="M109" s="288">
        <f t="shared" si="7"/>
        <v>999</v>
      </c>
      <c r="N109" s="283"/>
      <c r="O109" s="245"/>
      <c r="P109" s="116">
        <f t="shared" si="8"/>
        <v>999</v>
      </c>
      <c r="Q109" s="98"/>
    </row>
    <row r="110" spans="1:17" s="11" customFormat="1" ht="18.95" customHeight="1" x14ac:dyDescent="0.2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6"/>
        <v>999</v>
      </c>
      <c r="M110" s="288">
        <f t="shared" si="7"/>
        <v>999</v>
      </c>
      <c r="N110" s="283"/>
      <c r="O110" s="245"/>
      <c r="P110" s="116">
        <f t="shared" si="8"/>
        <v>999</v>
      </c>
      <c r="Q110" s="98"/>
    </row>
    <row r="111" spans="1:17" s="11" customFormat="1" ht="18.95" customHeight="1" x14ac:dyDescent="0.2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6"/>
        <v>999</v>
      </c>
      <c r="M111" s="288">
        <f t="shared" si="7"/>
        <v>999</v>
      </c>
      <c r="N111" s="283"/>
      <c r="O111" s="245"/>
      <c r="P111" s="116">
        <f t="shared" si="8"/>
        <v>999</v>
      </c>
      <c r="Q111" s="98"/>
    </row>
    <row r="112" spans="1:17" s="11" customFormat="1" ht="18.95" customHeight="1" x14ac:dyDescent="0.2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6"/>
        <v>999</v>
      </c>
      <c r="M112" s="288">
        <f t="shared" si="7"/>
        <v>999</v>
      </c>
      <c r="N112" s="283"/>
      <c r="O112" s="245"/>
      <c r="P112" s="116">
        <f t="shared" si="8"/>
        <v>999</v>
      </c>
      <c r="Q112" s="98"/>
    </row>
    <row r="113" spans="1:17" s="11" customFormat="1" ht="18.95" customHeight="1" x14ac:dyDescent="0.2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6"/>
        <v>999</v>
      </c>
      <c r="M113" s="288">
        <f t="shared" si="7"/>
        <v>999</v>
      </c>
      <c r="N113" s="283"/>
      <c r="O113" s="245"/>
      <c r="P113" s="116">
        <f t="shared" si="8"/>
        <v>999</v>
      </c>
      <c r="Q113" s="98"/>
    </row>
    <row r="114" spans="1:17" s="11" customFormat="1" ht="18.95" customHeight="1" x14ac:dyDescent="0.2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6"/>
        <v>999</v>
      </c>
      <c r="M114" s="288">
        <f t="shared" si="7"/>
        <v>999</v>
      </c>
      <c r="N114" s="283"/>
      <c r="O114" s="245"/>
      <c r="P114" s="116">
        <f t="shared" si="8"/>
        <v>999</v>
      </c>
      <c r="Q114" s="98"/>
    </row>
    <row r="115" spans="1:17" s="11" customFormat="1" ht="18.95" customHeight="1" x14ac:dyDescent="0.2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6"/>
        <v>999</v>
      </c>
      <c r="M115" s="288">
        <f t="shared" si="7"/>
        <v>999</v>
      </c>
      <c r="N115" s="283"/>
      <c r="O115" s="245"/>
      <c r="P115" s="116">
        <f t="shared" si="8"/>
        <v>999</v>
      </c>
      <c r="Q115" s="98"/>
    </row>
    <row r="116" spans="1:17" s="11" customFormat="1" ht="18.95" customHeight="1" x14ac:dyDescent="0.2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6"/>
        <v>999</v>
      </c>
      <c r="M116" s="288">
        <f t="shared" si="7"/>
        <v>999</v>
      </c>
      <c r="N116" s="283"/>
      <c r="O116" s="245"/>
      <c r="P116" s="116">
        <f t="shared" si="8"/>
        <v>999</v>
      </c>
      <c r="Q116" s="98"/>
    </row>
    <row r="117" spans="1:17" s="11" customFormat="1" ht="18.95" customHeight="1" x14ac:dyDescent="0.2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6"/>
        <v>999</v>
      </c>
      <c r="M117" s="288">
        <f t="shared" si="7"/>
        <v>999</v>
      </c>
      <c r="N117" s="283"/>
      <c r="O117" s="245"/>
      <c r="P117" s="116">
        <f t="shared" si="8"/>
        <v>999</v>
      </c>
      <c r="Q117" s="98"/>
    </row>
    <row r="118" spans="1:17" s="11" customFormat="1" ht="18.95" customHeight="1" x14ac:dyDescent="0.2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6"/>
        <v>999</v>
      </c>
      <c r="M118" s="288">
        <f t="shared" si="7"/>
        <v>999</v>
      </c>
      <c r="N118" s="283"/>
      <c r="O118" s="245"/>
      <c r="P118" s="116">
        <f t="shared" si="8"/>
        <v>999</v>
      </c>
      <c r="Q118" s="98"/>
    </row>
    <row r="119" spans="1:17" s="11" customFormat="1" ht="18.95" customHeight="1" x14ac:dyDescent="0.2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6"/>
        <v>999</v>
      </c>
      <c r="M119" s="288">
        <f t="shared" si="7"/>
        <v>999</v>
      </c>
      <c r="N119" s="283"/>
      <c r="O119" s="245"/>
      <c r="P119" s="116">
        <f t="shared" si="8"/>
        <v>999</v>
      </c>
      <c r="Q119" s="98"/>
    </row>
    <row r="120" spans="1:17" s="11" customFormat="1" ht="18.95" customHeight="1" x14ac:dyDescent="0.2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6"/>
        <v>999</v>
      </c>
      <c r="M120" s="288">
        <f t="shared" si="7"/>
        <v>999</v>
      </c>
      <c r="N120" s="283"/>
      <c r="O120" s="245"/>
      <c r="P120" s="116">
        <f t="shared" si="8"/>
        <v>999</v>
      </c>
      <c r="Q120" s="98"/>
    </row>
    <row r="121" spans="1:17" s="11" customFormat="1" ht="18.95" customHeight="1" x14ac:dyDescent="0.2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6"/>
        <v>999</v>
      </c>
      <c r="M121" s="288">
        <f t="shared" si="7"/>
        <v>999</v>
      </c>
      <c r="N121" s="283"/>
      <c r="O121" s="245"/>
      <c r="P121" s="116">
        <f t="shared" si="8"/>
        <v>999</v>
      </c>
      <c r="Q121" s="98"/>
    </row>
    <row r="122" spans="1:17" s="11" customFormat="1" ht="18.95" customHeight="1" x14ac:dyDescent="0.2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6"/>
        <v>999</v>
      </c>
      <c r="M122" s="288">
        <f t="shared" si="7"/>
        <v>999</v>
      </c>
      <c r="N122" s="283"/>
      <c r="O122" s="245"/>
      <c r="P122" s="116">
        <f t="shared" si="8"/>
        <v>999</v>
      </c>
      <c r="Q122" s="98"/>
    </row>
    <row r="123" spans="1:17" s="11" customFormat="1" ht="18.95" customHeight="1" x14ac:dyDescent="0.2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6"/>
        <v>999</v>
      </c>
      <c r="M123" s="288">
        <f t="shared" si="7"/>
        <v>999</v>
      </c>
      <c r="N123" s="283"/>
      <c r="O123" s="245"/>
      <c r="P123" s="116">
        <f t="shared" si="8"/>
        <v>999</v>
      </c>
      <c r="Q123" s="98"/>
    </row>
    <row r="124" spans="1:17" s="11" customFormat="1" ht="18.95" customHeight="1" x14ac:dyDescent="0.2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6"/>
        <v>999</v>
      </c>
      <c r="M124" s="288">
        <f t="shared" si="7"/>
        <v>999</v>
      </c>
      <c r="N124" s="283"/>
      <c r="O124" s="245"/>
      <c r="P124" s="116">
        <f t="shared" si="8"/>
        <v>999</v>
      </c>
      <c r="Q124" s="98"/>
    </row>
    <row r="125" spans="1:17" s="11" customFormat="1" ht="18.95" customHeight="1" x14ac:dyDescent="0.2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6"/>
        <v>999</v>
      </c>
      <c r="M125" s="288">
        <f t="shared" si="7"/>
        <v>999</v>
      </c>
      <c r="N125" s="283"/>
      <c r="O125" s="245"/>
      <c r="P125" s="116">
        <f t="shared" si="8"/>
        <v>999</v>
      </c>
      <c r="Q125" s="98"/>
    </row>
    <row r="126" spans="1:17" s="11" customFormat="1" ht="18.95" customHeight="1" x14ac:dyDescent="0.2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6"/>
        <v>999</v>
      </c>
      <c r="M126" s="288">
        <f t="shared" si="7"/>
        <v>999</v>
      </c>
      <c r="N126" s="283"/>
      <c r="O126" s="245"/>
      <c r="P126" s="116">
        <f t="shared" si="8"/>
        <v>999</v>
      </c>
      <c r="Q126" s="98"/>
    </row>
    <row r="127" spans="1:17" s="11" customFormat="1" ht="18.95" customHeight="1" x14ac:dyDescent="0.2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6"/>
        <v>999</v>
      </c>
      <c r="M127" s="288">
        <f t="shared" si="7"/>
        <v>999</v>
      </c>
      <c r="N127" s="283"/>
      <c r="O127" s="245"/>
      <c r="P127" s="116">
        <f t="shared" si="8"/>
        <v>999</v>
      </c>
      <c r="Q127" s="98"/>
    </row>
    <row r="128" spans="1:17" s="11" customFormat="1" ht="18.95" customHeight="1" x14ac:dyDescent="0.2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6"/>
        <v>999</v>
      </c>
      <c r="M128" s="288">
        <f t="shared" si="7"/>
        <v>999</v>
      </c>
      <c r="N128" s="283"/>
      <c r="O128" s="245"/>
      <c r="P128" s="116">
        <f t="shared" si="8"/>
        <v>999</v>
      </c>
      <c r="Q128" s="98"/>
    </row>
    <row r="129" spans="1:17" s="11" customFormat="1" ht="18.95" customHeight="1" x14ac:dyDescent="0.2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6"/>
        <v>999</v>
      </c>
      <c r="M129" s="288">
        <f t="shared" si="7"/>
        <v>999</v>
      </c>
      <c r="N129" s="283"/>
      <c r="O129" s="245"/>
      <c r="P129" s="116">
        <f t="shared" si="8"/>
        <v>999</v>
      </c>
      <c r="Q129" s="98"/>
    </row>
    <row r="130" spans="1:17" s="11" customFormat="1" ht="18.95" customHeight="1" x14ac:dyDescent="0.2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6"/>
        <v>999</v>
      </c>
      <c r="M130" s="288">
        <f t="shared" si="7"/>
        <v>999</v>
      </c>
      <c r="N130" s="283"/>
      <c r="O130" s="245"/>
      <c r="P130" s="116">
        <f t="shared" si="8"/>
        <v>999</v>
      </c>
      <c r="Q130" s="98"/>
    </row>
    <row r="131" spans="1:17" s="11" customFormat="1" ht="18.95" customHeight="1" x14ac:dyDescent="0.2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6"/>
        <v>999</v>
      </c>
      <c r="M131" s="288">
        <f t="shared" si="7"/>
        <v>999</v>
      </c>
      <c r="N131" s="283"/>
      <c r="O131" s="245"/>
      <c r="P131" s="116">
        <f t="shared" si="8"/>
        <v>999</v>
      </c>
      <c r="Q131" s="98"/>
    </row>
    <row r="132" spans="1:17" s="11" customFormat="1" ht="18.95" customHeight="1" x14ac:dyDescent="0.2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6"/>
        <v>999</v>
      </c>
      <c r="M132" s="288">
        <f t="shared" si="7"/>
        <v>999</v>
      </c>
      <c r="N132" s="283"/>
      <c r="O132" s="245"/>
      <c r="P132" s="116">
        <f t="shared" si="8"/>
        <v>999</v>
      </c>
      <c r="Q132" s="98"/>
    </row>
    <row r="133" spans="1:17" s="11" customFormat="1" ht="18.95" customHeight="1" x14ac:dyDescent="0.2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6"/>
        <v>999</v>
      </c>
      <c r="M133" s="288">
        <f t="shared" si="7"/>
        <v>999</v>
      </c>
      <c r="N133" s="283"/>
      <c r="O133" s="245"/>
      <c r="P133" s="116">
        <f t="shared" si="8"/>
        <v>999</v>
      </c>
      <c r="Q133" s="98"/>
    </row>
    <row r="134" spans="1:17" s="11" customFormat="1" ht="18.95" customHeight="1" x14ac:dyDescent="0.2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6"/>
        <v>999</v>
      </c>
      <c r="M134" s="288">
        <f t="shared" si="7"/>
        <v>999</v>
      </c>
      <c r="N134" s="283"/>
      <c r="O134" s="289"/>
      <c r="P134" s="290">
        <f t="shared" si="8"/>
        <v>999</v>
      </c>
      <c r="Q134" s="291"/>
    </row>
    <row r="135" spans="1:17" x14ac:dyDescent="0.2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ref="L135:L156" si="9">IF(Q135="",999,Q135)</f>
        <v>999</v>
      </c>
      <c r="M135" s="288">
        <f t="shared" ref="M135:M156" si="10">IF(P135=999,999,1)</f>
        <v>999</v>
      </c>
      <c r="N135" s="283"/>
      <c r="O135" s="245"/>
      <c r="P135" s="116">
        <f t="shared" ref="P135:P156" si="11">IF(N135="DA",1,IF(N135="WC",2,IF(N135="SE",3,IF(N135="Q",4,IF(N135="LL",5,999)))))</f>
        <v>999</v>
      </c>
      <c r="Q135" s="98"/>
    </row>
    <row r="136" spans="1:17" x14ac:dyDescent="0.2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9"/>
        <v>999</v>
      </c>
      <c r="M136" s="288">
        <f t="shared" si="10"/>
        <v>999</v>
      </c>
      <c r="N136" s="283"/>
      <c r="O136" s="245"/>
      <c r="P136" s="116">
        <f t="shared" si="11"/>
        <v>999</v>
      </c>
      <c r="Q136" s="98"/>
    </row>
    <row r="137" spans="1:17" x14ac:dyDescent="0.2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9"/>
        <v>999</v>
      </c>
      <c r="M137" s="288">
        <f t="shared" si="10"/>
        <v>999</v>
      </c>
      <c r="N137" s="283"/>
      <c r="O137" s="245"/>
      <c r="P137" s="116">
        <f t="shared" si="11"/>
        <v>999</v>
      </c>
      <c r="Q137" s="98"/>
    </row>
    <row r="138" spans="1:17" x14ac:dyDescent="0.2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9"/>
        <v>999</v>
      </c>
      <c r="M138" s="288">
        <f t="shared" si="10"/>
        <v>999</v>
      </c>
      <c r="N138" s="283"/>
      <c r="O138" s="245"/>
      <c r="P138" s="116">
        <f t="shared" si="11"/>
        <v>999</v>
      </c>
      <c r="Q138" s="98"/>
    </row>
    <row r="139" spans="1:17" x14ac:dyDescent="0.2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9"/>
        <v>999</v>
      </c>
      <c r="M139" s="288">
        <f t="shared" si="10"/>
        <v>999</v>
      </c>
      <c r="N139" s="283"/>
      <c r="O139" s="245"/>
      <c r="P139" s="116">
        <f t="shared" si="11"/>
        <v>999</v>
      </c>
      <c r="Q139" s="98"/>
    </row>
    <row r="140" spans="1:17" x14ac:dyDescent="0.2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9"/>
        <v>999</v>
      </c>
      <c r="M140" s="288">
        <f t="shared" si="10"/>
        <v>999</v>
      </c>
      <c r="N140" s="283"/>
      <c r="O140" s="245"/>
      <c r="P140" s="116">
        <f t="shared" si="11"/>
        <v>999</v>
      </c>
      <c r="Q140" s="98"/>
    </row>
    <row r="141" spans="1:17" x14ac:dyDescent="0.2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9"/>
        <v>999</v>
      </c>
      <c r="M141" s="288">
        <f t="shared" si="10"/>
        <v>999</v>
      </c>
      <c r="N141" s="283"/>
      <c r="O141" s="289"/>
      <c r="P141" s="290">
        <f t="shared" si="11"/>
        <v>999</v>
      </c>
      <c r="Q141" s="291"/>
    </row>
    <row r="142" spans="1:17" x14ac:dyDescent="0.2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9"/>
        <v>999</v>
      </c>
      <c r="M142" s="288">
        <f t="shared" si="10"/>
        <v>999</v>
      </c>
      <c r="N142" s="283"/>
      <c r="O142" s="245"/>
      <c r="P142" s="116">
        <f t="shared" si="11"/>
        <v>999</v>
      </c>
      <c r="Q142" s="98"/>
    </row>
    <row r="143" spans="1:17" x14ac:dyDescent="0.2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9"/>
        <v>999</v>
      </c>
      <c r="M143" s="288">
        <f t="shared" si="10"/>
        <v>999</v>
      </c>
      <c r="N143" s="283"/>
      <c r="O143" s="245"/>
      <c r="P143" s="116">
        <f t="shared" si="11"/>
        <v>999</v>
      </c>
      <c r="Q143" s="98"/>
    </row>
    <row r="144" spans="1:17" x14ac:dyDescent="0.2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9"/>
        <v>999</v>
      </c>
      <c r="M144" s="288">
        <f t="shared" si="10"/>
        <v>999</v>
      </c>
      <c r="N144" s="283"/>
      <c r="O144" s="245"/>
      <c r="P144" s="116">
        <f t="shared" si="11"/>
        <v>999</v>
      </c>
      <c r="Q144" s="98"/>
    </row>
    <row r="145" spans="1:17" x14ac:dyDescent="0.2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9"/>
        <v>999</v>
      </c>
      <c r="M145" s="288">
        <f t="shared" si="10"/>
        <v>999</v>
      </c>
      <c r="N145" s="283"/>
      <c r="O145" s="245"/>
      <c r="P145" s="116">
        <f t="shared" si="11"/>
        <v>999</v>
      </c>
      <c r="Q145" s="98"/>
    </row>
    <row r="146" spans="1:17" x14ac:dyDescent="0.2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9"/>
        <v>999</v>
      </c>
      <c r="M146" s="288">
        <f t="shared" si="10"/>
        <v>999</v>
      </c>
      <c r="N146" s="283"/>
      <c r="O146" s="245"/>
      <c r="P146" s="116">
        <f t="shared" si="11"/>
        <v>999</v>
      </c>
      <c r="Q146" s="98"/>
    </row>
    <row r="147" spans="1:17" x14ac:dyDescent="0.2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9"/>
        <v>999</v>
      </c>
      <c r="M147" s="288">
        <f t="shared" si="10"/>
        <v>999</v>
      </c>
      <c r="N147" s="283"/>
      <c r="O147" s="245"/>
      <c r="P147" s="116">
        <f t="shared" si="11"/>
        <v>999</v>
      </c>
      <c r="Q147" s="98"/>
    </row>
    <row r="148" spans="1:17" x14ac:dyDescent="0.2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9"/>
        <v>999</v>
      </c>
      <c r="M148" s="288">
        <f t="shared" si="10"/>
        <v>999</v>
      </c>
      <c r="N148" s="283"/>
      <c r="O148" s="289"/>
      <c r="P148" s="290">
        <f t="shared" si="11"/>
        <v>999</v>
      </c>
      <c r="Q148" s="291"/>
    </row>
    <row r="149" spans="1:17" x14ac:dyDescent="0.2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9"/>
        <v>999</v>
      </c>
      <c r="M149" s="288">
        <f t="shared" si="10"/>
        <v>999</v>
      </c>
      <c r="N149" s="283"/>
      <c r="O149" s="245"/>
      <c r="P149" s="116">
        <f t="shared" si="11"/>
        <v>999</v>
      </c>
      <c r="Q149" s="98"/>
    </row>
    <row r="150" spans="1:17" x14ac:dyDescent="0.2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9"/>
        <v>999</v>
      </c>
      <c r="M150" s="288">
        <f t="shared" si="10"/>
        <v>999</v>
      </c>
      <c r="N150" s="283"/>
      <c r="O150" s="245"/>
      <c r="P150" s="116">
        <f t="shared" si="11"/>
        <v>999</v>
      </c>
      <c r="Q150" s="98"/>
    </row>
    <row r="151" spans="1:17" x14ac:dyDescent="0.2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9"/>
        <v>999</v>
      </c>
      <c r="M151" s="288">
        <f t="shared" si="10"/>
        <v>999</v>
      </c>
      <c r="N151" s="283"/>
      <c r="O151" s="245"/>
      <c r="P151" s="116">
        <f t="shared" si="11"/>
        <v>999</v>
      </c>
      <c r="Q151" s="98"/>
    </row>
    <row r="152" spans="1:17" x14ac:dyDescent="0.2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9"/>
        <v>999</v>
      </c>
      <c r="M152" s="288">
        <f t="shared" si="10"/>
        <v>999</v>
      </c>
      <c r="N152" s="283"/>
      <c r="O152" s="245"/>
      <c r="P152" s="116">
        <f t="shared" si="11"/>
        <v>999</v>
      </c>
      <c r="Q152" s="98"/>
    </row>
    <row r="153" spans="1:17" x14ac:dyDescent="0.2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9"/>
        <v>999</v>
      </c>
      <c r="M153" s="288">
        <f t="shared" si="10"/>
        <v>999</v>
      </c>
      <c r="N153" s="283"/>
      <c r="O153" s="245"/>
      <c r="P153" s="116">
        <f t="shared" si="11"/>
        <v>999</v>
      </c>
      <c r="Q153" s="98"/>
    </row>
    <row r="154" spans="1:17" x14ac:dyDescent="0.2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9"/>
        <v>999</v>
      </c>
      <c r="M154" s="288">
        <f t="shared" si="10"/>
        <v>999</v>
      </c>
      <c r="N154" s="283"/>
      <c r="O154" s="245"/>
      <c r="P154" s="116">
        <f t="shared" si="11"/>
        <v>999</v>
      </c>
      <c r="Q154" s="98"/>
    </row>
    <row r="155" spans="1:17" x14ac:dyDescent="0.2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9"/>
        <v>999</v>
      </c>
      <c r="M155" s="288">
        <f t="shared" si="10"/>
        <v>999</v>
      </c>
      <c r="N155" s="283"/>
      <c r="O155" s="245"/>
      <c r="P155" s="116">
        <f t="shared" si="11"/>
        <v>999</v>
      </c>
      <c r="Q155" s="98"/>
    </row>
    <row r="156" spans="1:17" x14ac:dyDescent="0.2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9"/>
        <v>999</v>
      </c>
      <c r="M156" s="288">
        <f t="shared" si="10"/>
        <v>999</v>
      </c>
      <c r="N156" s="283"/>
      <c r="O156" s="245"/>
      <c r="P156" s="116">
        <f t="shared" si="11"/>
        <v>999</v>
      </c>
      <c r="Q156" s="98"/>
    </row>
  </sheetData>
  <phoneticPr fontId="61" type="noConversion"/>
  <conditionalFormatting sqref="E7:E156">
    <cfRule type="expression" dxfId="174" priority="14" stopIfTrue="1">
      <formula>AND(ROUNDDOWN(($A$4-E7)/365.25,0)&lt;=13,G7&lt;&gt;"OK")</formula>
    </cfRule>
    <cfRule type="expression" dxfId="173" priority="15" stopIfTrue="1">
      <formula>AND(ROUNDDOWN(($A$4-E7)/365.25,0)&lt;=14,G7&lt;&gt;"OK")</formula>
    </cfRule>
    <cfRule type="expression" dxfId="172" priority="16" stopIfTrue="1">
      <formula>AND(ROUNDDOWN(($A$4-E7)/365.25,0)&lt;=17,G7&lt;&gt;"OK")</formula>
    </cfRule>
  </conditionalFormatting>
  <conditionalFormatting sqref="J7:J156">
    <cfRule type="cellIs" dxfId="171" priority="17" stopIfTrue="1" operator="equal">
      <formula>"Z"</formula>
    </cfRule>
  </conditionalFormatting>
  <conditionalFormatting sqref="A7:D156">
    <cfRule type="expression" dxfId="170" priority="18" stopIfTrue="1">
      <formula>$Q7&gt;=1</formula>
    </cfRule>
  </conditionalFormatting>
  <conditionalFormatting sqref="E7:E14">
    <cfRule type="expression" dxfId="169" priority="11" stopIfTrue="1">
      <formula>AND(ROUNDDOWN(($A$4-E7)/365.25,0)&lt;=13,G7&lt;&gt;"OK")</formula>
    </cfRule>
    <cfRule type="expression" dxfId="168" priority="12" stopIfTrue="1">
      <formula>AND(ROUNDDOWN(($A$4-E7)/365.25,0)&lt;=14,G7&lt;&gt;"OK")</formula>
    </cfRule>
    <cfRule type="expression" dxfId="167" priority="13" stopIfTrue="1">
      <formula>AND(ROUNDDOWN(($A$4-E7)/365.25,0)&lt;=17,G7&lt;&gt;"OK")</formula>
    </cfRule>
  </conditionalFormatting>
  <conditionalFormatting sqref="J7:J14">
    <cfRule type="cellIs" dxfId="166" priority="10" stopIfTrue="1" operator="equal">
      <formula>"Z"</formula>
    </cfRule>
  </conditionalFormatting>
  <conditionalFormatting sqref="B7:D14">
    <cfRule type="expression" dxfId="165" priority="9" stopIfTrue="1">
      <formula>$Q7&gt;=1</formula>
    </cfRule>
  </conditionalFormatting>
  <conditionalFormatting sqref="E7:E14">
    <cfRule type="expression" dxfId="164" priority="6" stopIfTrue="1">
      <formula>AND(ROUNDDOWN(($A$4-E7)/365.25,0)&lt;=13,G7&lt;&gt;"OK")</formula>
    </cfRule>
    <cfRule type="expression" dxfId="163" priority="7" stopIfTrue="1">
      <formula>AND(ROUNDDOWN(($A$4-E7)/365.25,0)&lt;=14,G7&lt;&gt;"OK")</formula>
    </cfRule>
    <cfRule type="expression" dxfId="162" priority="8" stopIfTrue="1">
      <formula>AND(ROUNDDOWN(($A$4-E7)/365.25,0)&lt;=17,G7&lt;&gt;"OK")</formula>
    </cfRule>
  </conditionalFormatting>
  <conditionalFormatting sqref="B7:D14">
    <cfRule type="expression" dxfId="161" priority="5" stopIfTrue="1">
      <formula>$Q7&gt;=1</formula>
    </cfRule>
  </conditionalFormatting>
  <conditionalFormatting sqref="E29:E37 E7:E27">
    <cfRule type="expression" dxfId="160" priority="2" stopIfTrue="1">
      <formula>AND(ROUNDDOWN(($A$4-E7)/365.25,0)&lt;=13,G7&lt;&gt;"OK")</formula>
    </cfRule>
    <cfRule type="expression" dxfId="159" priority="3" stopIfTrue="1">
      <formula>AND(ROUNDDOWN(($A$4-E7)/365.25,0)&lt;=14,G7&lt;&gt;"OK")</formula>
    </cfRule>
    <cfRule type="expression" dxfId="158" priority="4" stopIfTrue="1">
      <formula>AND(ROUNDDOWN(($A$4-E7)/365.25,0)&lt;=17,G7&lt;&gt;"OK")</formula>
    </cfRule>
  </conditionalFormatting>
  <conditionalFormatting sqref="B7:D37">
    <cfRule type="expression" dxfId="157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>
    <tabColor indexed="11"/>
  </sheetPr>
  <dimension ref="A1:AS140"/>
  <sheetViews>
    <sheetView workbookViewId="0">
      <selection activeCell="O1" sqref="O1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7" customWidth="1"/>
    <col min="11" max="11" width="10.7109375" customWidth="1"/>
    <col min="12" max="12" width="1.7109375" style="117" customWidth="1"/>
    <col min="13" max="13" width="10.7109375" customWidth="1"/>
    <col min="14" max="14" width="1.7109375" style="118" customWidth="1"/>
    <col min="15" max="15" width="10.7109375" customWidth="1"/>
    <col min="16" max="16" width="1.7109375" style="117" customWidth="1"/>
    <col min="17" max="17" width="10.7109375" customWidth="1"/>
    <col min="18" max="18" width="1.7109375" style="118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5" customWidth="1"/>
  </cols>
  <sheetData>
    <row r="1" spans="1:45" s="119" customFormat="1" ht="21.75" customHeight="1" x14ac:dyDescent="0.2">
      <c r="A1" s="297" t="str">
        <f>Altalanos!$A$6</f>
        <v>Budapest Bajnokság</v>
      </c>
      <c r="B1" s="297"/>
      <c r="C1" s="298"/>
      <c r="D1" s="298"/>
      <c r="E1" s="298"/>
      <c r="F1" s="298"/>
      <c r="G1" s="298"/>
      <c r="H1" s="297"/>
      <c r="I1" s="299"/>
      <c r="J1" s="300"/>
      <c r="K1" s="301" t="s">
        <v>52</v>
      </c>
      <c r="L1" s="302"/>
      <c r="M1" s="303"/>
      <c r="N1" s="300"/>
      <c r="O1" s="300" t="s">
        <v>14</v>
      </c>
      <c r="P1" s="300"/>
      <c r="Q1" s="298"/>
      <c r="R1" s="300"/>
      <c r="T1" s="349"/>
      <c r="U1" s="349"/>
      <c r="V1" s="349"/>
      <c r="W1" s="349"/>
      <c r="X1" s="349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92"/>
      <c r="AJ1" s="392"/>
      <c r="AK1" s="392"/>
    </row>
    <row r="2" spans="1:45" s="99" customFormat="1" x14ac:dyDescent="0.2">
      <c r="A2" s="304" t="s">
        <v>51</v>
      </c>
      <c r="B2" s="305"/>
      <c r="C2" s="305"/>
      <c r="D2" s="305"/>
      <c r="E2" s="305" t="str">
        <f>Altalanos!$A$8</f>
        <v>F12 csapat</v>
      </c>
      <c r="F2" s="305"/>
      <c r="G2" s="306"/>
      <c r="H2" s="307"/>
      <c r="I2" s="307"/>
      <c r="J2" s="308"/>
      <c r="K2" s="302"/>
      <c r="L2" s="302"/>
      <c r="M2" s="302"/>
      <c r="N2" s="308"/>
      <c r="O2" s="307"/>
      <c r="P2" s="308"/>
      <c r="Q2" s="307"/>
      <c r="R2" s="308"/>
      <c r="T2" s="342"/>
      <c r="U2" s="342"/>
      <c r="V2" s="342"/>
      <c r="W2" s="342"/>
      <c r="X2" s="342"/>
      <c r="Y2" s="376"/>
      <c r="Z2" s="375"/>
      <c r="AA2" s="375" t="s">
        <v>64</v>
      </c>
      <c r="AB2" s="384">
        <v>300</v>
      </c>
      <c r="AC2" s="384">
        <v>250</v>
      </c>
      <c r="AD2" s="384">
        <v>200</v>
      </c>
      <c r="AE2" s="384">
        <v>150</v>
      </c>
      <c r="AF2" s="384">
        <v>120</v>
      </c>
      <c r="AG2" s="384">
        <v>90</v>
      </c>
      <c r="AH2" s="384">
        <v>40</v>
      </c>
      <c r="AI2" s="371"/>
      <c r="AJ2" s="371"/>
      <c r="AK2" s="37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T3" s="343"/>
      <c r="U3" s="343"/>
      <c r="V3" s="343"/>
      <c r="W3" s="343"/>
      <c r="X3" s="343"/>
      <c r="Y3" s="375" t="str">
        <f>IF(K4="OB","A",IF(K4="IX","W",IF(K4="","",K4)))</f>
        <v/>
      </c>
      <c r="Z3" s="375"/>
      <c r="AA3" s="375" t="s">
        <v>65</v>
      </c>
      <c r="AB3" s="384">
        <v>280</v>
      </c>
      <c r="AC3" s="384">
        <v>230</v>
      </c>
      <c r="AD3" s="384">
        <v>180</v>
      </c>
      <c r="AE3" s="384">
        <v>140</v>
      </c>
      <c r="AF3" s="384">
        <v>80</v>
      </c>
      <c r="AG3" s="384">
        <v>0</v>
      </c>
      <c r="AH3" s="384">
        <v>0</v>
      </c>
      <c r="AI3" s="371"/>
      <c r="AJ3" s="371"/>
      <c r="AK3" s="37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25">
      <c r="A4" s="441" t="str">
        <f>Altalanos!$A$10</f>
        <v>2025.06.19-29.</v>
      </c>
      <c r="B4" s="441"/>
      <c r="C4" s="441"/>
      <c r="D4" s="309"/>
      <c r="E4" s="310"/>
      <c r="F4" s="310"/>
      <c r="G4" s="310" t="str">
        <f>Altalanos!$C$10</f>
        <v>Budapest</v>
      </c>
      <c r="H4" s="311"/>
      <c r="I4" s="310"/>
      <c r="J4" s="312"/>
      <c r="K4" s="313"/>
      <c r="L4" s="312"/>
      <c r="M4" s="314"/>
      <c r="N4" s="312"/>
      <c r="O4" s="310"/>
      <c r="P4" s="312"/>
      <c r="Q4" s="310"/>
      <c r="R4" s="315" t="str">
        <f>Altalanos!$E$10</f>
        <v>Rákóczi Andrea</v>
      </c>
      <c r="T4" s="344"/>
      <c r="U4" s="344"/>
      <c r="V4" s="344"/>
      <c r="W4" s="344"/>
      <c r="X4" s="344"/>
      <c r="Y4" s="375"/>
      <c r="Z4" s="375"/>
      <c r="AA4" s="375" t="s">
        <v>66</v>
      </c>
      <c r="AB4" s="384">
        <v>250</v>
      </c>
      <c r="AC4" s="384">
        <v>200</v>
      </c>
      <c r="AD4" s="384">
        <v>150</v>
      </c>
      <c r="AE4" s="384">
        <v>120</v>
      </c>
      <c r="AF4" s="384">
        <v>90</v>
      </c>
      <c r="AG4" s="384">
        <v>60</v>
      </c>
      <c r="AH4" s="384">
        <v>25</v>
      </c>
      <c r="AI4" s="371"/>
      <c r="AJ4" s="371"/>
      <c r="AK4" s="37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58</v>
      </c>
      <c r="N5" s="132"/>
      <c r="O5" s="130" t="s">
        <v>57</v>
      </c>
      <c r="P5" s="132"/>
      <c r="Q5" s="130"/>
      <c r="R5" s="133"/>
      <c r="T5" s="343"/>
      <c r="U5" s="343"/>
      <c r="V5" s="343"/>
      <c r="W5" s="343"/>
      <c r="X5" s="343"/>
      <c r="Y5" s="375">
        <f>IF(OR(Altalanos!$A$8="F1",Altalanos!$A$8="F2",Altalanos!$A$8="N1",Altalanos!$A$8="N2"),1,2)</f>
        <v>2</v>
      </c>
      <c r="Z5" s="375"/>
      <c r="AA5" s="375" t="s">
        <v>67</v>
      </c>
      <c r="AB5" s="384">
        <v>200</v>
      </c>
      <c r="AC5" s="384">
        <v>150</v>
      </c>
      <c r="AD5" s="384">
        <v>120</v>
      </c>
      <c r="AE5" s="384">
        <v>90</v>
      </c>
      <c r="AF5" s="384">
        <v>60</v>
      </c>
      <c r="AG5" s="384">
        <v>40</v>
      </c>
      <c r="AH5" s="384">
        <v>15</v>
      </c>
      <c r="AI5" s="371"/>
      <c r="AJ5" s="371"/>
      <c r="AK5" s="371"/>
      <c r="AL5" s="343"/>
      <c r="AM5" s="343"/>
      <c r="AN5" s="343"/>
      <c r="AO5" s="343"/>
      <c r="AP5" s="343"/>
      <c r="AQ5" s="343"/>
      <c r="AR5" s="343"/>
      <c r="AS5" s="343"/>
    </row>
    <row r="6" spans="1:45" s="19" customFormat="1" ht="11.1" customHeight="1" thickBot="1" x14ac:dyDescent="0.25">
      <c r="A6" s="378"/>
      <c r="B6" s="379"/>
      <c r="C6" s="379"/>
      <c r="D6" s="379"/>
      <c r="E6" s="379"/>
      <c r="F6" s="378" t="str">
        <f>IF(Y3="","",CONCATENATE(VLOOKUP(Y3,AB1:AH1,4)," pont"))</f>
        <v/>
      </c>
      <c r="G6" s="380"/>
      <c r="H6" s="381"/>
      <c r="I6" s="380"/>
      <c r="J6" s="382"/>
      <c r="K6" s="379" t="str">
        <f>IF(Y3="","",CONCATENATE(VLOOKUP(Y3,AB1:AH1,3)," pont"))</f>
        <v/>
      </c>
      <c r="L6" s="382"/>
      <c r="M6" s="379" t="str">
        <f>IF(Y3="","",CONCATENATE(VLOOKUP(Y3,AB1:AH1,2)," pont"))</f>
        <v/>
      </c>
      <c r="N6" s="382"/>
      <c r="O6" s="379" t="str">
        <f>IF(Y3="","",CONCATENATE(VLOOKUP(Y3,AB1:AH1,1)," pont"))</f>
        <v/>
      </c>
      <c r="P6" s="382"/>
      <c r="Q6" s="379"/>
      <c r="R6" s="383"/>
      <c r="T6" s="343"/>
      <c r="U6" s="343"/>
      <c r="V6" s="343"/>
      <c r="W6" s="343"/>
      <c r="X6" s="343"/>
      <c r="Y6" s="375"/>
      <c r="Z6" s="375"/>
      <c r="AA6" s="375" t="s">
        <v>68</v>
      </c>
      <c r="AB6" s="384">
        <v>150</v>
      </c>
      <c r="AC6" s="384">
        <v>120</v>
      </c>
      <c r="AD6" s="384">
        <v>90</v>
      </c>
      <c r="AE6" s="384">
        <v>60</v>
      </c>
      <c r="AF6" s="384">
        <v>40</v>
      </c>
      <c r="AG6" s="384">
        <v>25</v>
      </c>
      <c r="AH6" s="384">
        <v>10</v>
      </c>
      <c r="AI6" s="371"/>
      <c r="AJ6" s="371"/>
      <c r="AK6" s="371"/>
      <c r="AL6" s="343"/>
      <c r="AM6" s="343"/>
      <c r="AN6" s="343"/>
      <c r="AO6" s="343"/>
      <c r="AP6" s="343"/>
      <c r="AQ6" s="343"/>
      <c r="AR6" s="343"/>
      <c r="AS6" s="343"/>
    </row>
    <row r="7" spans="1:45" s="34" customFormat="1" ht="12.95" customHeight="1" x14ac:dyDescent="0.2">
      <c r="A7" s="135">
        <v>1</v>
      </c>
      <c r="B7" s="316">
        <f>IF($E7="","",VLOOKUP($E7,'F12 csapat ELO'!$A$7:$O$22,14))</f>
        <v>0</v>
      </c>
      <c r="C7" s="317">
        <f>IF($E7="","",VLOOKUP($E7,'F12 csapat ELO'!$A$7:$O$22,15))</f>
        <v>45</v>
      </c>
      <c r="D7" s="317">
        <f>IF($E7="","",VLOOKUP($E7,'F12 csapat ELO'!$A$7:$O$22,5))</f>
        <v>0</v>
      </c>
      <c r="E7" s="318">
        <v>1</v>
      </c>
      <c r="F7" s="319" t="str">
        <f>UPPER(IF($E7="","",VLOOKUP($E7,'F12 csapat ELO'!$A$7:$O$22,2)))</f>
        <v>TENISZ MŰHELY</v>
      </c>
      <c r="G7" s="319">
        <f>IF($E7="","",VLOOKUP($E7,'F12 csapat ELO'!$A$7:$O$22,3))</f>
        <v>0</v>
      </c>
      <c r="H7" s="319"/>
      <c r="I7" s="319">
        <f>IF($E7="","",VLOOKUP($E7,'F12 csapat ELO'!$A$7:$O$22,4))</f>
        <v>0</v>
      </c>
      <c r="J7" s="320"/>
      <c r="K7" s="321"/>
      <c r="L7" s="321"/>
      <c r="M7" s="321"/>
      <c r="N7" s="321"/>
      <c r="O7" s="141"/>
      <c r="P7" s="142"/>
      <c r="Q7" s="143"/>
      <c r="R7" s="144"/>
      <c r="S7" s="145"/>
      <c r="T7" s="145"/>
      <c r="U7" s="345" t="str">
        <f>Birók!P21</f>
        <v>Bíró</v>
      </c>
      <c r="V7" s="145"/>
      <c r="W7" s="145"/>
      <c r="X7" s="145"/>
      <c r="Y7" s="375"/>
      <c r="Z7" s="375"/>
      <c r="AA7" s="375" t="s">
        <v>69</v>
      </c>
      <c r="AB7" s="384">
        <v>120</v>
      </c>
      <c r="AC7" s="384">
        <v>90</v>
      </c>
      <c r="AD7" s="384">
        <v>60</v>
      </c>
      <c r="AE7" s="384">
        <v>40</v>
      </c>
      <c r="AF7" s="384">
        <v>25</v>
      </c>
      <c r="AG7" s="384">
        <v>10</v>
      </c>
      <c r="AH7" s="384">
        <v>5</v>
      </c>
      <c r="AI7" s="371"/>
      <c r="AJ7" s="371"/>
      <c r="AK7" s="371"/>
      <c r="AL7" s="145"/>
      <c r="AM7" s="145"/>
      <c r="AN7" s="145"/>
      <c r="AO7" s="145"/>
      <c r="AP7" s="145"/>
      <c r="AQ7" s="145"/>
      <c r="AR7" s="145"/>
      <c r="AS7" s="145"/>
    </row>
    <row r="8" spans="1:45" s="34" customFormat="1" ht="12.95" customHeight="1" x14ac:dyDescent="0.2">
      <c r="A8" s="147"/>
      <c r="B8" s="322"/>
      <c r="C8" s="323"/>
      <c r="D8" s="323"/>
      <c r="E8" s="220"/>
      <c r="F8" s="324"/>
      <c r="G8" s="324"/>
      <c r="H8" s="325"/>
      <c r="I8" s="424" t="s">
        <v>0</v>
      </c>
      <c r="J8" s="152" t="s">
        <v>127</v>
      </c>
      <c r="K8" s="326" t="str">
        <f>UPPER(IF(OR(J8="a",J8="as"),F7,IF(OR(J8="b",J8="bs"),F9,)))</f>
        <v>TENISZ MŰHELY</v>
      </c>
      <c r="L8" s="326"/>
      <c r="M8" s="321"/>
      <c r="N8" s="321"/>
      <c r="O8" s="141"/>
      <c r="P8" s="142"/>
      <c r="Q8" s="143"/>
      <c r="R8" s="144"/>
      <c r="S8" s="145"/>
      <c r="T8" s="145"/>
      <c r="U8" s="346" t="str">
        <f>Birók!P22</f>
        <v xml:space="preserve"> </v>
      </c>
      <c r="V8" s="145"/>
      <c r="W8" s="145"/>
      <c r="X8" s="145"/>
      <c r="Y8" s="375"/>
      <c r="Z8" s="375"/>
      <c r="AA8" s="375" t="s">
        <v>70</v>
      </c>
      <c r="AB8" s="384">
        <v>90</v>
      </c>
      <c r="AC8" s="384">
        <v>60</v>
      </c>
      <c r="AD8" s="384">
        <v>40</v>
      </c>
      <c r="AE8" s="384">
        <v>25</v>
      </c>
      <c r="AF8" s="384">
        <v>10</v>
      </c>
      <c r="AG8" s="384">
        <v>5</v>
      </c>
      <c r="AH8" s="384">
        <v>2</v>
      </c>
      <c r="AI8" s="371"/>
      <c r="AJ8" s="371"/>
      <c r="AK8" s="371"/>
      <c r="AL8" s="145"/>
      <c r="AM8" s="145"/>
      <c r="AN8" s="145"/>
      <c r="AO8" s="145"/>
      <c r="AP8" s="145"/>
      <c r="AQ8" s="145"/>
      <c r="AR8" s="145"/>
      <c r="AS8" s="145"/>
    </row>
    <row r="9" spans="1:45" s="34" customFormat="1" ht="12.95" customHeight="1" x14ac:dyDescent="0.2">
      <c r="A9" s="147">
        <v>2</v>
      </c>
      <c r="B9" s="316">
        <f>IF($E9="","",VLOOKUP($E9,'F12 csapat ELO'!$A$7:$O$22,14))</f>
        <v>0</v>
      </c>
      <c r="C9" s="317">
        <f>IF($E9="","",VLOOKUP($E9,'F12 csapat ELO'!$A$7:$O$22,15))</f>
        <v>161</v>
      </c>
      <c r="D9" s="317">
        <f>IF($E9="","",VLOOKUP($E9,'F12 csapat ELO'!$A$7:$O$22,5))</f>
        <v>0</v>
      </c>
      <c r="E9" s="414">
        <v>7</v>
      </c>
      <c r="F9" s="368" t="str">
        <f>UPPER(IF($E9="","",VLOOKUP($E9,'F12 csapat ELO'!$A$7:$O$22,2)))</f>
        <v>PASARÉT TK 3.</v>
      </c>
      <c r="G9" s="368">
        <f>IF($E9="","",VLOOKUP($E9,'F12 csapat ELO'!$A$7:$O$22,3))</f>
        <v>0</v>
      </c>
      <c r="H9" s="368"/>
      <c r="I9" s="368">
        <f>IF($E9="","",VLOOKUP($E9,'F12 csapat ELO'!$A$7:$O$22,4))</f>
        <v>0</v>
      </c>
      <c r="J9" s="327"/>
      <c r="K9" s="331" t="s">
        <v>133</v>
      </c>
      <c r="L9" s="328"/>
      <c r="M9" s="321"/>
      <c r="N9" s="321"/>
      <c r="O9" s="141"/>
      <c r="P9" s="142"/>
      <c r="Q9" s="143"/>
      <c r="R9" s="144"/>
      <c r="S9" s="145"/>
      <c r="T9" s="145"/>
      <c r="U9" s="346" t="str">
        <f>Birók!P23</f>
        <v xml:space="preserve"> </v>
      </c>
      <c r="V9" s="145"/>
      <c r="W9" s="145"/>
      <c r="X9" s="145"/>
      <c r="Y9" s="375"/>
      <c r="Z9" s="375"/>
      <c r="AA9" s="375" t="s">
        <v>71</v>
      </c>
      <c r="AB9" s="384">
        <v>60</v>
      </c>
      <c r="AC9" s="384">
        <v>40</v>
      </c>
      <c r="AD9" s="384">
        <v>25</v>
      </c>
      <c r="AE9" s="384">
        <v>10</v>
      </c>
      <c r="AF9" s="384">
        <v>5</v>
      </c>
      <c r="AG9" s="384">
        <v>2</v>
      </c>
      <c r="AH9" s="384">
        <v>1</v>
      </c>
      <c r="AI9" s="371"/>
      <c r="AJ9" s="371"/>
      <c r="AK9" s="371"/>
      <c r="AL9" s="145"/>
      <c r="AM9" s="145"/>
      <c r="AN9" s="145"/>
      <c r="AO9" s="145"/>
      <c r="AP9" s="145"/>
      <c r="AQ9" s="145"/>
      <c r="AR9" s="145"/>
      <c r="AS9" s="145"/>
    </row>
    <row r="10" spans="1:45" s="34" customFormat="1" ht="12.95" customHeight="1" x14ac:dyDescent="0.2">
      <c r="A10" s="147"/>
      <c r="B10" s="322"/>
      <c r="C10" s="323"/>
      <c r="D10" s="323"/>
      <c r="E10" s="415"/>
      <c r="F10" s="416"/>
      <c r="G10" s="416"/>
      <c r="H10" s="417"/>
      <c r="I10" s="416"/>
      <c r="J10" s="329"/>
      <c r="K10" s="424" t="s">
        <v>0</v>
      </c>
      <c r="L10" s="160" t="s">
        <v>127</v>
      </c>
      <c r="M10" s="326" t="str">
        <f>UPPER(IF(OR(L10="a",L10="as"),K8,IF(OR(L10="b",L10="bs"),K12,)))</f>
        <v>TENISZ MŰHELY</v>
      </c>
      <c r="N10" s="330"/>
      <c r="O10" s="331"/>
      <c r="P10" s="331"/>
      <c r="Q10" s="143"/>
      <c r="R10" s="144"/>
      <c r="S10" s="145"/>
      <c r="T10" s="145"/>
      <c r="U10" s="346" t="str">
        <f>Birók!P24</f>
        <v xml:space="preserve"> </v>
      </c>
      <c r="V10" s="145"/>
      <c r="W10" s="145"/>
      <c r="X10" s="145"/>
      <c r="Y10" s="375"/>
      <c r="Z10" s="375"/>
      <c r="AA10" s="375" t="s">
        <v>72</v>
      </c>
      <c r="AB10" s="384">
        <v>40</v>
      </c>
      <c r="AC10" s="384">
        <v>25</v>
      </c>
      <c r="AD10" s="384">
        <v>15</v>
      </c>
      <c r="AE10" s="384">
        <v>7</v>
      </c>
      <c r="AF10" s="384">
        <v>4</v>
      </c>
      <c r="AG10" s="384">
        <v>1</v>
      </c>
      <c r="AH10" s="384">
        <v>0</v>
      </c>
      <c r="AI10" s="371"/>
      <c r="AJ10" s="371"/>
      <c r="AK10" s="371"/>
      <c r="AL10" s="145"/>
      <c r="AM10" s="145"/>
      <c r="AN10" s="145"/>
      <c r="AO10" s="145"/>
      <c r="AP10" s="145"/>
      <c r="AQ10" s="145"/>
      <c r="AR10" s="145"/>
      <c r="AS10" s="145"/>
    </row>
    <row r="11" spans="1:45" s="34" customFormat="1" ht="12.95" customHeight="1" x14ac:dyDescent="0.2">
      <c r="A11" s="147">
        <v>3</v>
      </c>
      <c r="B11" s="316">
        <f>IF($E11="","",VLOOKUP($E11,'F12 csapat ELO'!$A$7:$O$22,14))</f>
        <v>0</v>
      </c>
      <c r="C11" s="317">
        <f>IF($E11="","",VLOOKUP($E11,'F12 csapat ELO'!$A$7:$O$22,15))</f>
        <v>83</v>
      </c>
      <c r="D11" s="317">
        <f>IF($E11="","",VLOOKUP($E11,'F12 csapat ELO'!$A$7:$O$22,5))</f>
        <v>0</v>
      </c>
      <c r="E11" s="414">
        <v>4</v>
      </c>
      <c r="F11" s="368" t="str">
        <f>UPPER(IF($E11="","",VLOOKUP($E11,'F12 csapat ELO'!$A$7:$O$22,2)))</f>
        <v>VASAS SC</v>
      </c>
      <c r="G11" s="368">
        <f>IF($E11="","",VLOOKUP($E11,'F12 csapat ELO'!$A$7:$O$22,3))</f>
        <v>0</v>
      </c>
      <c r="H11" s="368"/>
      <c r="I11" s="368">
        <f>IF($E11="","",VLOOKUP($E11,'F12 csapat ELO'!$A$7:$O$22,4))</f>
        <v>0</v>
      </c>
      <c r="J11" s="320"/>
      <c r="K11" s="321"/>
      <c r="L11" s="332"/>
      <c r="M11" s="331" t="s">
        <v>133</v>
      </c>
      <c r="N11" s="333"/>
      <c r="O11" s="331"/>
      <c r="P11" s="331"/>
      <c r="Q11" s="143"/>
      <c r="R11" s="144"/>
      <c r="S11" s="145"/>
      <c r="T11" s="145"/>
      <c r="U11" s="346" t="str">
        <f>Birók!P25</f>
        <v xml:space="preserve"> </v>
      </c>
      <c r="V11" s="145"/>
      <c r="W11" s="145"/>
      <c r="X11" s="145"/>
      <c r="Y11" s="375"/>
      <c r="Z11" s="375"/>
      <c r="AA11" s="375" t="s">
        <v>73</v>
      </c>
      <c r="AB11" s="384">
        <v>25</v>
      </c>
      <c r="AC11" s="384">
        <v>15</v>
      </c>
      <c r="AD11" s="384">
        <v>10</v>
      </c>
      <c r="AE11" s="384">
        <v>6</v>
      </c>
      <c r="AF11" s="384">
        <v>3</v>
      </c>
      <c r="AG11" s="384">
        <v>1</v>
      </c>
      <c r="AH11" s="384">
        <v>0</v>
      </c>
      <c r="AI11" s="371"/>
      <c r="AJ11" s="371"/>
      <c r="AK11" s="371"/>
      <c r="AL11" s="145"/>
      <c r="AM11" s="145"/>
      <c r="AN11" s="145"/>
      <c r="AO11" s="145"/>
      <c r="AP11" s="145"/>
      <c r="AQ11" s="145"/>
      <c r="AR11" s="145"/>
      <c r="AS11" s="145"/>
    </row>
    <row r="12" spans="1:45" s="34" customFormat="1" ht="12.95" customHeight="1" x14ac:dyDescent="0.2">
      <c r="A12" s="147"/>
      <c r="B12" s="322"/>
      <c r="C12" s="323"/>
      <c r="D12" s="323"/>
      <c r="E12" s="415"/>
      <c r="F12" s="416"/>
      <c r="G12" s="416"/>
      <c r="H12" s="417"/>
      <c r="I12" s="424" t="s">
        <v>0</v>
      </c>
      <c r="J12" s="152" t="s">
        <v>129</v>
      </c>
      <c r="K12" s="326" t="str">
        <f>UPPER(IF(OR(J12="a",J12="as"),F11,IF(OR(J12="b",J12="bs"),F13,)))</f>
        <v>VASAS SC</v>
      </c>
      <c r="L12" s="334"/>
      <c r="M12" s="321"/>
      <c r="N12" s="333"/>
      <c r="O12" s="331"/>
      <c r="P12" s="331"/>
      <c r="Q12" s="143"/>
      <c r="R12" s="144"/>
      <c r="S12" s="145"/>
      <c r="T12" s="145"/>
      <c r="U12" s="346" t="str">
        <f>Birók!P26</f>
        <v xml:space="preserve"> </v>
      </c>
      <c r="V12" s="145"/>
      <c r="W12" s="145"/>
      <c r="X12" s="145"/>
      <c r="Y12" s="375"/>
      <c r="Z12" s="375"/>
      <c r="AA12" s="375" t="s">
        <v>78</v>
      </c>
      <c r="AB12" s="384">
        <v>15</v>
      </c>
      <c r="AC12" s="384">
        <v>10</v>
      </c>
      <c r="AD12" s="384">
        <v>6</v>
      </c>
      <c r="AE12" s="384">
        <v>3</v>
      </c>
      <c r="AF12" s="384">
        <v>1</v>
      </c>
      <c r="AG12" s="384">
        <v>0</v>
      </c>
      <c r="AH12" s="384">
        <v>0</v>
      </c>
      <c r="AI12" s="371"/>
      <c r="AJ12" s="371"/>
      <c r="AK12" s="371"/>
      <c r="AL12" s="145"/>
      <c r="AM12" s="145"/>
      <c r="AN12" s="145"/>
      <c r="AO12" s="145"/>
      <c r="AP12" s="145"/>
      <c r="AQ12" s="145"/>
      <c r="AR12" s="145"/>
      <c r="AS12" s="145"/>
    </row>
    <row r="13" spans="1:45" s="34" customFormat="1" ht="12.95" customHeight="1" x14ac:dyDescent="0.2">
      <c r="A13" s="147">
        <v>4</v>
      </c>
      <c r="B13" s="316">
        <f>IF($E13="","",VLOOKUP($E13,'F12 csapat ELO'!$A$7:$O$22,14))</f>
        <v>0</v>
      </c>
      <c r="C13" s="317">
        <f>IF($E13="","",VLOOKUP($E13,'F12 csapat ELO'!$A$7:$O$22,15))</f>
        <v>252</v>
      </c>
      <c r="D13" s="317">
        <f>IF($E13="","",VLOOKUP($E13,'F12 csapat ELO'!$A$7:$O$22,5))</f>
        <v>0</v>
      </c>
      <c r="E13" s="414">
        <v>8</v>
      </c>
      <c r="F13" s="368" t="str">
        <f>UPPER(IF($E13="","",VLOOKUP($E13,'F12 csapat ELO'!$A$7:$O$22,2)))</f>
        <v>KÉK LEPKÉK</v>
      </c>
      <c r="G13" s="368">
        <f>IF($E13="","",VLOOKUP($E13,'F12 csapat ELO'!$A$7:$O$22,3))</f>
        <v>0</v>
      </c>
      <c r="H13" s="368"/>
      <c r="I13" s="368">
        <f>IF($E13="","",VLOOKUP($E13,'F12 csapat ELO'!$A$7:$O$22,4))</f>
        <v>0</v>
      </c>
      <c r="J13" s="335"/>
      <c r="K13" s="321" t="s">
        <v>134</v>
      </c>
      <c r="L13" s="321"/>
      <c r="M13" s="321"/>
      <c r="N13" s="333"/>
      <c r="O13" s="331"/>
      <c r="P13" s="331"/>
      <c r="Q13" s="143"/>
      <c r="R13" s="144"/>
      <c r="S13" s="145"/>
      <c r="T13" s="145"/>
      <c r="U13" s="346" t="str">
        <f>Birók!P27</f>
        <v xml:space="preserve"> </v>
      </c>
      <c r="V13" s="145"/>
      <c r="W13" s="145"/>
      <c r="X13" s="145"/>
      <c r="Y13" s="375"/>
      <c r="Z13" s="375"/>
      <c r="AA13" s="375" t="s">
        <v>74</v>
      </c>
      <c r="AB13" s="384">
        <v>10</v>
      </c>
      <c r="AC13" s="384">
        <v>6</v>
      </c>
      <c r="AD13" s="384">
        <v>3</v>
      </c>
      <c r="AE13" s="384">
        <v>1</v>
      </c>
      <c r="AF13" s="384">
        <v>0</v>
      </c>
      <c r="AG13" s="384">
        <v>0</v>
      </c>
      <c r="AH13" s="384">
        <v>0</v>
      </c>
      <c r="AI13" s="371"/>
      <c r="AJ13" s="371"/>
      <c r="AK13" s="371"/>
      <c r="AL13" s="145"/>
      <c r="AM13" s="145"/>
      <c r="AN13" s="145"/>
      <c r="AO13" s="145"/>
      <c r="AP13" s="145"/>
      <c r="AQ13" s="145"/>
      <c r="AR13" s="145"/>
      <c r="AS13" s="145"/>
    </row>
    <row r="14" spans="1:45" s="34" customFormat="1" ht="12.95" customHeight="1" x14ac:dyDescent="0.2">
      <c r="A14" s="147"/>
      <c r="B14" s="322"/>
      <c r="C14" s="323"/>
      <c r="D14" s="323"/>
      <c r="E14" s="415"/>
      <c r="F14" s="416"/>
      <c r="G14" s="416"/>
      <c r="H14" s="417"/>
      <c r="I14" s="416"/>
      <c r="J14" s="329"/>
      <c r="K14" s="321"/>
      <c r="L14" s="321"/>
      <c r="M14" s="424" t="s">
        <v>0</v>
      </c>
      <c r="N14" s="160" t="s">
        <v>143</v>
      </c>
      <c r="O14" s="326" t="str">
        <f>UPPER(IF(OR(N14="a",N14="as"),M10,IF(OR(N14="b",N14="bs"),M18,)))</f>
        <v>PASARÉT TK 1</v>
      </c>
      <c r="P14" s="330"/>
      <c r="Q14" s="143"/>
      <c r="R14" s="144"/>
      <c r="S14" s="145"/>
      <c r="T14" s="145"/>
      <c r="U14" s="346" t="str">
        <f>Birók!P28</f>
        <v xml:space="preserve"> </v>
      </c>
      <c r="V14" s="145"/>
      <c r="W14" s="145"/>
      <c r="X14" s="145"/>
      <c r="Y14" s="375"/>
      <c r="Z14" s="375"/>
      <c r="AA14" s="375" t="s">
        <v>75</v>
      </c>
      <c r="AB14" s="384">
        <v>3</v>
      </c>
      <c r="AC14" s="384">
        <v>2</v>
      </c>
      <c r="AD14" s="384">
        <v>1</v>
      </c>
      <c r="AE14" s="384">
        <v>0</v>
      </c>
      <c r="AF14" s="384">
        <v>0</v>
      </c>
      <c r="AG14" s="384">
        <v>0</v>
      </c>
      <c r="AH14" s="384">
        <v>0</v>
      </c>
      <c r="AI14" s="371"/>
      <c r="AJ14" s="371"/>
      <c r="AK14" s="371"/>
      <c r="AL14" s="145"/>
      <c r="AM14" s="145"/>
      <c r="AN14" s="145"/>
      <c r="AO14" s="145"/>
      <c r="AP14" s="145"/>
      <c r="AQ14" s="145"/>
      <c r="AR14" s="145"/>
      <c r="AS14" s="145"/>
    </row>
    <row r="15" spans="1:45" s="34" customFormat="1" ht="12.95" customHeight="1" x14ac:dyDescent="0.2">
      <c r="A15" s="367">
        <v>5</v>
      </c>
      <c r="B15" s="316">
        <f>IF($E15="","",VLOOKUP($E15,'F12 csapat ELO'!$A$7:$O$22,14))</f>
        <v>0</v>
      </c>
      <c r="C15" s="317">
        <f>IF($E15="","",VLOOKUP($E15,'F12 csapat ELO'!$A$7:$O$22,15))</f>
        <v>158</v>
      </c>
      <c r="D15" s="317">
        <f>IF($E15="","",VLOOKUP($E15,'F12 csapat ELO'!$A$7:$O$22,5))</f>
        <v>0</v>
      </c>
      <c r="E15" s="414">
        <v>6</v>
      </c>
      <c r="F15" s="368" t="str">
        <f>UPPER(IF($E15="","",VLOOKUP($E15,'F12 csapat ELO'!$A$7:$O$22,2)))</f>
        <v xml:space="preserve">PASARÉT TK 2. </v>
      </c>
      <c r="G15" s="368">
        <f>IF($E15="","",VLOOKUP($E15,'F12 csapat ELO'!$A$7:$O$22,3))</f>
        <v>0</v>
      </c>
      <c r="H15" s="368"/>
      <c r="I15" s="368">
        <f>IF($E15="","",VLOOKUP($E15,'F12 csapat ELO'!$A$7:$O$22,4))</f>
        <v>0</v>
      </c>
      <c r="J15" s="337"/>
      <c r="K15" s="321"/>
      <c r="L15" s="321"/>
      <c r="M15" s="321"/>
      <c r="N15" s="333"/>
      <c r="O15" s="438" t="s">
        <v>133</v>
      </c>
      <c r="P15" s="366"/>
      <c r="Q15" s="247"/>
      <c r="R15" s="144"/>
      <c r="S15" s="145"/>
      <c r="T15" s="145"/>
      <c r="U15" s="346" t="str">
        <f>Birók!P29</f>
        <v xml:space="preserve"> </v>
      </c>
      <c r="V15" s="145"/>
      <c r="W15" s="145"/>
      <c r="X15" s="14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1"/>
      <c r="AJ15" s="371"/>
      <c r="AK15" s="371"/>
      <c r="AL15" s="145"/>
      <c r="AM15" s="145"/>
      <c r="AN15" s="145"/>
      <c r="AO15" s="145"/>
      <c r="AP15" s="145"/>
      <c r="AQ15" s="145"/>
      <c r="AR15" s="145"/>
      <c r="AS15" s="145"/>
    </row>
    <row r="16" spans="1:45" s="34" customFormat="1" ht="12.95" customHeight="1" thickBot="1" x14ac:dyDescent="0.25">
      <c r="A16" s="147"/>
      <c r="B16" s="322"/>
      <c r="C16" s="323"/>
      <c r="D16" s="323"/>
      <c r="E16" s="415"/>
      <c r="F16" s="416"/>
      <c r="G16" s="416"/>
      <c r="H16" s="417"/>
      <c r="I16" s="424" t="s">
        <v>0</v>
      </c>
      <c r="J16" s="152" t="s">
        <v>130</v>
      </c>
      <c r="K16" s="326" t="str">
        <f>UPPER(IF(OR(J16="a",J16="as"),F15,IF(OR(J16="b",J16="bs"),F17,)))</f>
        <v>BEBTO T.</v>
      </c>
      <c r="L16" s="326"/>
      <c r="M16" s="321"/>
      <c r="N16" s="333"/>
      <c r="O16" s="424"/>
      <c r="P16" s="366"/>
      <c r="Q16" s="247"/>
      <c r="R16" s="144"/>
      <c r="S16" s="145"/>
      <c r="T16" s="145"/>
      <c r="U16" s="347" t="str">
        <f>Birók!P30</f>
        <v>Egyik sem</v>
      </c>
      <c r="V16" s="145"/>
      <c r="W16" s="145"/>
      <c r="X16" s="145"/>
      <c r="Y16" s="375"/>
      <c r="Z16" s="375"/>
      <c r="AA16" s="375" t="s">
        <v>64</v>
      </c>
      <c r="AB16" s="384">
        <v>150</v>
      </c>
      <c r="AC16" s="384">
        <v>120</v>
      </c>
      <c r="AD16" s="384">
        <v>90</v>
      </c>
      <c r="AE16" s="384">
        <v>60</v>
      </c>
      <c r="AF16" s="384">
        <v>40</v>
      </c>
      <c r="AG16" s="384">
        <v>25</v>
      </c>
      <c r="AH16" s="384">
        <v>15</v>
      </c>
      <c r="AI16" s="371"/>
      <c r="AJ16" s="371"/>
      <c r="AK16" s="371"/>
      <c r="AL16" s="145"/>
      <c r="AM16" s="145"/>
      <c r="AN16" s="145"/>
      <c r="AO16" s="145"/>
      <c r="AP16" s="145"/>
      <c r="AQ16" s="145"/>
      <c r="AR16" s="145"/>
      <c r="AS16" s="145"/>
    </row>
    <row r="17" spans="1:45" s="34" customFormat="1" ht="12.95" customHeight="1" x14ac:dyDescent="0.2">
      <c r="A17" s="147">
        <v>6</v>
      </c>
      <c r="B17" s="316">
        <f>IF($E17="","",VLOOKUP($E17,'F12 csapat ELO'!$A$7:$O$22,14))</f>
        <v>0</v>
      </c>
      <c r="C17" s="317">
        <f>IF($E17="","",VLOOKUP($E17,'F12 csapat ELO'!$A$7:$O$22,15))</f>
        <v>56</v>
      </c>
      <c r="D17" s="317">
        <f>IF($E17="","",VLOOKUP($E17,'F12 csapat ELO'!$A$7:$O$22,5))</f>
        <v>0</v>
      </c>
      <c r="E17" s="414">
        <v>3</v>
      </c>
      <c r="F17" s="368" t="str">
        <f>UPPER(IF($E17="","",VLOOKUP($E17,'F12 csapat ELO'!$A$7:$O$22,2)))</f>
        <v>BEBTO T.</v>
      </c>
      <c r="G17" s="368">
        <f>IF($E17="","",VLOOKUP($E17,'F12 csapat ELO'!$A$7:$O$22,3))</f>
        <v>0</v>
      </c>
      <c r="H17" s="368"/>
      <c r="I17" s="368">
        <f>IF($E17="","",VLOOKUP($E17,'F12 csapat ELO'!$A$7:$O$22,4))</f>
        <v>0</v>
      </c>
      <c r="J17" s="327"/>
      <c r="K17" s="331" t="s">
        <v>133</v>
      </c>
      <c r="L17" s="328"/>
      <c r="M17" s="321"/>
      <c r="N17" s="333"/>
      <c r="O17" s="331"/>
      <c r="P17" s="366"/>
      <c r="Q17" s="247"/>
      <c r="R17" s="144"/>
      <c r="S17" s="145"/>
      <c r="T17" s="145"/>
      <c r="U17" s="145"/>
      <c r="V17" s="145"/>
      <c r="W17" s="145"/>
      <c r="X17" s="145"/>
      <c r="Y17" s="375"/>
      <c r="Z17" s="375"/>
      <c r="AA17" s="375" t="s">
        <v>66</v>
      </c>
      <c r="AB17" s="384">
        <v>120</v>
      </c>
      <c r="AC17" s="384">
        <v>90</v>
      </c>
      <c r="AD17" s="384">
        <v>60</v>
      </c>
      <c r="AE17" s="384">
        <v>40</v>
      </c>
      <c r="AF17" s="384">
        <v>25</v>
      </c>
      <c r="AG17" s="384">
        <v>15</v>
      </c>
      <c r="AH17" s="384">
        <v>8</v>
      </c>
      <c r="AI17" s="371"/>
      <c r="AJ17" s="371"/>
      <c r="AK17" s="371"/>
      <c r="AL17" s="145"/>
      <c r="AM17" s="145"/>
      <c r="AN17" s="145"/>
      <c r="AO17" s="145"/>
      <c r="AP17" s="145"/>
      <c r="AQ17" s="145"/>
      <c r="AR17" s="145"/>
      <c r="AS17" s="145"/>
    </row>
    <row r="18" spans="1:45" s="34" customFormat="1" ht="12.95" customHeight="1" x14ac:dyDescent="0.2">
      <c r="A18" s="147"/>
      <c r="B18" s="322"/>
      <c r="C18" s="323"/>
      <c r="D18" s="323"/>
      <c r="E18" s="415"/>
      <c r="F18" s="416"/>
      <c r="G18" s="416"/>
      <c r="H18" s="417"/>
      <c r="I18" s="416"/>
      <c r="J18" s="329"/>
      <c r="K18" s="424" t="s">
        <v>0</v>
      </c>
      <c r="L18" s="160" t="s">
        <v>128</v>
      </c>
      <c r="M18" s="326" t="str">
        <f>UPPER(IF(OR(L18="a",L18="as"),K16,IF(OR(L18="b",L18="bs"),K20,)))</f>
        <v>PASARÉT TK 1</v>
      </c>
      <c r="N18" s="338"/>
      <c r="O18" s="331"/>
      <c r="P18" s="366"/>
      <c r="Q18" s="247"/>
      <c r="R18" s="144"/>
      <c r="S18" s="145"/>
      <c r="T18" s="145"/>
      <c r="U18" s="145"/>
      <c r="V18" s="145"/>
      <c r="W18" s="145"/>
      <c r="X18" s="145"/>
      <c r="Y18" s="375"/>
      <c r="Z18" s="375"/>
      <c r="AA18" s="375" t="s">
        <v>67</v>
      </c>
      <c r="AB18" s="384">
        <v>90</v>
      </c>
      <c r="AC18" s="384">
        <v>60</v>
      </c>
      <c r="AD18" s="384">
        <v>40</v>
      </c>
      <c r="AE18" s="384">
        <v>25</v>
      </c>
      <c r="AF18" s="384">
        <v>15</v>
      </c>
      <c r="AG18" s="384">
        <v>8</v>
      </c>
      <c r="AH18" s="384">
        <v>4</v>
      </c>
      <c r="AI18" s="371"/>
      <c r="AJ18" s="371"/>
      <c r="AK18" s="371"/>
      <c r="AL18" s="145"/>
      <c r="AM18" s="145"/>
      <c r="AN18" s="145"/>
      <c r="AO18" s="145"/>
      <c r="AP18" s="145"/>
      <c r="AQ18" s="145"/>
      <c r="AR18" s="145"/>
      <c r="AS18" s="145"/>
    </row>
    <row r="19" spans="1:45" s="34" customFormat="1" ht="12.95" customHeight="1" x14ac:dyDescent="0.2">
      <c r="A19" s="147">
        <v>7</v>
      </c>
      <c r="B19" s="316">
        <f>IF($E19="","",VLOOKUP($E19,'F12 csapat ELO'!$A$7:$O$22,14))</f>
        <v>0</v>
      </c>
      <c r="C19" s="317">
        <f>IF($E19="","",VLOOKUP($E19,'F12 csapat ELO'!$A$7:$O$22,15))</f>
        <v>147</v>
      </c>
      <c r="D19" s="317">
        <f>IF($E19="","",VLOOKUP($E19,'F12 csapat ELO'!$A$7:$O$22,5))</f>
        <v>0</v>
      </c>
      <c r="E19" s="414">
        <v>5</v>
      </c>
      <c r="F19" s="368" t="str">
        <f>UPPER(IF($E19="","",VLOOKUP($E19,'F12 csapat ELO'!$A$7:$O$22,2)))</f>
        <v>FORTUNA SE</v>
      </c>
      <c r="G19" s="368">
        <f>IF($E19="","",VLOOKUP($E19,'F12 csapat ELO'!$A$7:$O$22,3))</f>
        <v>0</v>
      </c>
      <c r="H19" s="368"/>
      <c r="I19" s="368">
        <f>IF($E19="","",VLOOKUP($E19,'F12 csapat ELO'!$A$7:$O$22,4))</f>
        <v>0</v>
      </c>
      <c r="J19" s="320"/>
      <c r="K19" s="321"/>
      <c r="L19" s="332"/>
      <c r="M19" s="331" t="s">
        <v>133</v>
      </c>
      <c r="N19" s="331"/>
      <c r="O19" s="331"/>
      <c r="P19" s="366"/>
      <c r="Q19" s="247"/>
      <c r="R19" s="144"/>
      <c r="S19" s="145"/>
      <c r="T19" s="145"/>
      <c r="U19" s="145"/>
      <c r="V19" s="145"/>
      <c r="W19" s="145"/>
      <c r="X19" s="145"/>
      <c r="Y19" s="375"/>
      <c r="Z19" s="375"/>
      <c r="AA19" s="375" t="s">
        <v>68</v>
      </c>
      <c r="AB19" s="384">
        <v>60</v>
      </c>
      <c r="AC19" s="384">
        <v>40</v>
      </c>
      <c r="AD19" s="384">
        <v>25</v>
      </c>
      <c r="AE19" s="384">
        <v>15</v>
      </c>
      <c r="AF19" s="384">
        <v>8</v>
      </c>
      <c r="AG19" s="384">
        <v>4</v>
      </c>
      <c r="AH19" s="384">
        <v>2</v>
      </c>
      <c r="AI19" s="371"/>
      <c r="AJ19" s="371"/>
      <c r="AK19" s="371"/>
      <c r="AL19" s="145"/>
      <c r="AM19" s="145"/>
      <c r="AN19" s="145"/>
      <c r="AO19" s="145"/>
      <c r="AP19" s="145"/>
      <c r="AQ19" s="145"/>
      <c r="AR19" s="145"/>
      <c r="AS19" s="145"/>
    </row>
    <row r="20" spans="1:45" s="34" customFormat="1" ht="12.95" customHeight="1" x14ac:dyDescent="0.2">
      <c r="A20" s="147"/>
      <c r="B20" s="322"/>
      <c r="C20" s="323"/>
      <c r="D20" s="323"/>
      <c r="E20" s="220"/>
      <c r="F20" s="324"/>
      <c r="G20" s="324"/>
      <c r="H20" s="325"/>
      <c r="I20" s="424" t="s">
        <v>0</v>
      </c>
      <c r="J20" s="152" t="s">
        <v>128</v>
      </c>
      <c r="K20" s="326" t="str">
        <f>UPPER(IF(OR(J20="a",J20="as"),F19,IF(OR(J20="b",J20="bs"),F21,)))</f>
        <v>PASARÉT TK 1</v>
      </c>
      <c r="L20" s="334"/>
      <c r="M20" s="321"/>
      <c r="N20" s="331"/>
      <c r="O20" s="331"/>
      <c r="P20" s="366"/>
      <c r="Q20" s="247"/>
      <c r="R20" s="144"/>
      <c r="S20" s="145"/>
      <c r="T20" s="145"/>
      <c r="U20" s="145"/>
      <c r="V20" s="145"/>
      <c r="W20" s="145"/>
      <c r="X20" s="145"/>
      <c r="Y20" s="375"/>
      <c r="Z20" s="375"/>
      <c r="AA20" s="375" t="s">
        <v>69</v>
      </c>
      <c r="AB20" s="384">
        <v>40</v>
      </c>
      <c r="AC20" s="384">
        <v>25</v>
      </c>
      <c r="AD20" s="384">
        <v>15</v>
      </c>
      <c r="AE20" s="384">
        <v>8</v>
      </c>
      <c r="AF20" s="384">
        <v>4</v>
      </c>
      <c r="AG20" s="384">
        <v>2</v>
      </c>
      <c r="AH20" s="384">
        <v>1</v>
      </c>
      <c r="AI20" s="371"/>
      <c r="AJ20" s="371"/>
      <c r="AK20" s="371"/>
      <c r="AL20" s="145"/>
      <c r="AM20" s="145"/>
      <c r="AN20" s="145"/>
      <c r="AO20" s="145"/>
      <c r="AP20" s="145"/>
      <c r="AQ20" s="145"/>
      <c r="AR20" s="145"/>
      <c r="AS20" s="145"/>
    </row>
    <row r="21" spans="1:45" s="34" customFormat="1" ht="12.95" customHeight="1" x14ac:dyDescent="0.2">
      <c r="A21" s="370">
        <v>8</v>
      </c>
      <c r="B21" s="316">
        <f>IF($E21="","",VLOOKUP($E21,'F12 csapat ELO'!$A$7:$O$22,14))</f>
        <v>0</v>
      </c>
      <c r="C21" s="317">
        <f>IF($E21="","",VLOOKUP($E21,'F12 csapat ELO'!$A$7:$O$22,15))</f>
        <v>46</v>
      </c>
      <c r="D21" s="317">
        <f>IF($E21="","",VLOOKUP($E21,'F12 csapat ELO'!$A$7:$O$22,5))</f>
        <v>0</v>
      </c>
      <c r="E21" s="318">
        <v>2</v>
      </c>
      <c r="F21" s="369" t="str">
        <f>UPPER(IF($E21="","",VLOOKUP($E21,'F12 csapat ELO'!$A$7:$O$22,2)))</f>
        <v>PASARÉT TK 1</v>
      </c>
      <c r="G21" s="369">
        <f>IF($E21="","",VLOOKUP($E21,'F12 csapat ELO'!$A$7:$O$22,3))</f>
        <v>0</v>
      </c>
      <c r="H21" s="369"/>
      <c r="I21" s="369">
        <f>IF($E21="","",VLOOKUP($E21,'F12 csapat ELO'!$A$7:$O$22,4))</f>
        <v>0</v>
      </c>
      <c r="J21" s="335"/>
      <c r="K21" s="321" t="s">
        <v>134</v>
      </c>
      <c r="L21" s="321"/>
      <c r="M21" s="321"/>
      <c r="N21" s="331"/>
      <c r="O21" s="331"/>
      <c r="P21" s="366"/>
      <c r="Q21" s="247"/>
      <c r="R21" s="144"/>
      <c r="S21" s="145"/>
      <c r="T21" s="145"/>
      <c r="U21" s="145"/>
      <c r="V21" s="145"/>
      <c r="W21" s="145"/>
      <c r="X21" s="145"/>
      <c r="Y21" s="375"/>
      <c r="Z21" s="375"/>
      <c r="AA21" s="375" t="s">
        <v>70</v>
      </c>
      <c r="AB21" s="384">
        <v>25</v>
      </c>
      <c r="AC21" s="384">
        <v>15</v>
      </c>
      <c r="AD21" s="384">
        <v>10</v>
      </c>
      <c r="AE21" s="384">
        <v>6</v>
      </c>
      <c r="AF21" s="384">
        <v>3</v>
      </c>
      <c r="AG21" s="384">
        <v>1</v>
      </c>
      <c r="AH21" s="384">
        <v>0</v>
      </c>
      <c r="AI21" s="371"/>
      <c r="AJ21" s="371"/>
      <c r="AK21" s="371"/>
      <c r="AL21" s="145"/>
      <c r="AM21" s="145"/>
      <c r="AN21" s="145"/>
      <c r="AO21" s="145"/>
      <c r="AP21" s="145"/>
      <c r="AQ21" s="145"/>
      <c r="AR21" s="145"/>
      <c r="AS21" s="145"/>
    </row>
    <row r="22" spans="1:45" s="34" customFormat="1" ht="9.6" customHeight="1" x14ac:dyDescent="0.2">
      <c r="A22" s="350"/>
      <c r="B22" s="141"/>
      <c r="C22" s="141"/>
      <c r="D22" s="141"/>
      <c r="E22" s="220"/>
      <c r="F22" s="141"/>
      <c r="G22" s="141"/>
      <c r="H22" s="141"/>
      <c r="I22" s="141"/>
      <c r="J22" s="220"/>
      <c r="K22" s="141"/>
      <c r="L22" s="141"/>
      <c r="M22" s="141"/>
      <c r="N22" s="143"/>
      <c r="O22" s="143"/>
      <c r="P22" s="143"/>
      <c r="Q22" s="143"/>
      <c r="R22" s="144"/>
      <c r="S22" s="145"/>
      <c r="T22" s="145"/>
      <c r="U22" s="145"/>
      <c r="V22" s="145"/>
      <c r="W22" s="145"/>
      <c r="X22" s="145"/>
      <c r="Y22" s="375"/>
      <c r="Z22" s="375"/>
      <c r="AA22" s="375" t="s">
        <v>71</v>
      </c>
      <c r="AB22" s="384">
        <v>15</v>
      </c>
      <c r="AC22" s="384">
        <v>10</v>
      </c>
      <c r="AD22" s="384">
        <v>6</v>
      </c>
      <c r="AE22" s="384">
        <v>3</v>
      </c>
      <c r="AF22" s="384">
        <v>1</v>
      </c>
      <c r="AG22" s="384">
        <v>0</v>
      </c>
      <c r="AH22" s="384">
        <v>0</v>
      </c>
      <c r="AI22" s="371"/>
      <c r="AJ22" s="371"/>
      <c r="AK22" s="371"/>
      <c r="AL22" s="145"/>
      <c r="AM22" s="145"/>
      <c r="AN22" s="145"/>
      <c r="AO22" s="145"/>
      <c r="AP22" s="145"/>
      <c r="AQ22" s="145"/>
      <c r="AR22" s="145"/>
      <c r="AS22" s="145"/>
    </row>
    <row r="23" spans="1:45" s="34" customFormat="1" ht="9.6" customHeight="1" x14ac:dyDescent="0.2">
      <c r="A23" s="221"/>
      <c r="B23" s="220"/>
      <c r="C23" s="220"/>
      <c r="D23" s="220"/>
      <c r="E23" s="220"/>
      <c r="F23" s="141"/>
      <c r="G23" s="141"/>
      <c r="H23" s="145"/>
      <c r="I23" s="340"/>
      <c r="J23" s="220"/>
      <c r="K23" s="141"/>
      <c r="L23" s="141"/>
      <c r="M23" s="141"/>
      <c r="N23" s="143"/>
      <c r="O23" s="143"/>
      <c r="P23" s="143"/>
      <c r="Q23" s="143"/>
      <c r="R23" s="144"/>
      <c r="S23" s="145"/>
      <c r="T23" s="145"/>
      <c r="U23" s="145"/>
      <c r="V23" s="145"/>
      <c r="W23" s="145"/>
      <c r="X23" s="145"/>
      <c r="Y23" s="375"/>
      <c r="Z23" s="375"/>
      <c r="AA23" s="375" t="s">
        <v>72</v>
      </c>
      <c r="AB23" s="384">
        <v>10</v>
      </c>
      <c r="AC23" s="384">
        <v>6</v>
      </c>
      <c r="AD23" s="384">
        <v>3</v>
      </c>
      <c r="AE23" s="384">
        <v>1</v>
      </c>
      <c r="AF23" s="384">
        <v>0</v>
      </c>
      <c r="AG23" s="384">
        <v>0</v>
      </c>
      <c r="AH23" s="384">
        <v>0</v>
      </c>
      <c r="AI23" s="371"/>
      <c r="AJ23" s="371"/>
      <c r="AK23" s="371"/>
      <c r="AL23" s="145"/>
      <c r="AM23" s="145"/>
      <c r="AN23" s="145"/>
      <c r="AO23" s="145"/>
      <c r="AP23" s="145"/>
      <c r="AQ23" s="145"/>
      <c r="AR23" s="145"/>
      <c r="AS23" s="145"/>
    </row>
    <row r="24" spans="1:45" s="34" customFormat="1" ht="9.6" customHeight="1" x14ac:dyDescent="0.2">
      <c r="A24" s="221"/>
      <c r="B24" s="141"/>
      <c r="C24" s="141"/>
      <c r="D24" s="141"/>
      <c r="E24" s="220"/>
      <c r="F24" s="141"/>
      <c r="G24" s="141"/>
      <c r="H24" s="141"/>
      <c r="I24" s="141"/>
      <c r="J24" s="220"/>
      <c r="K24" s="141"/>
      <c r="L24" s="341"/>
      <c r="M24" s="141"/>
      <c r="N24" s="143"/>
      <c r="O24" s="143"/>
      <c r="P24" s="143"/>
      <c r="Q24" s="143"/>
      <c r="R24" s="144"/>
      <c r="S24" s="145"/>
      <c r="T24" s="145"/>
      <c r="U24" s="145"/>
      <c r="V24" s="145"/>
      <c r="W24" s="145"/>
      <c r="X24" s="145"/>
      <c r="Y24" s="375"/>
      <c r="Z24" s="375"/>
      <c r="AA24" s="375" t="s">
        <v>73</v>
      </c>
      <c r="AB24" s="384">
        <v>6</v>
      </c>
      <c r="AC24" s="384">
        <v>3</v>
      </c>
      <c r="AD24" s="384">
        <v>1</v>
      </c>
      <c r="AE24" s="384">
        <v>0</v>
      </c>
      <c r="AF24" s="384">
        <v>0</v>
      </c>
      <c r="AG24" s="384">
        <v>0</v>
      </c>
      <c r="AH24" s="384">
        <v>0</v>
      </c>
      <c r="AI24" s="371"/>
      <c r="AJ24" s="371"/>
      <c r="AK24" s="371"/>
      <c r="AL24" s="145"/>
      <c r="AM24" s="145"/>
      <c r="AN24" s="145"/>
      <c r="AO24" s="145"/>
      <c r="AP24" s="145"/>
      <c r="AQ24" s="145"/>
      <c r="AR24" s="145"/>
      <c r="AS24" s="145"/>
    </row>
    <row r="25" spans="1:45" s="34" customFormat="1" ht="9.6" customHeight="1" x14ac:dyDescent="0.2">
      <c r="A25" s="221"/>
      <c r="B25" s="220"/>
      <c r="C25" s="220"/>
      <c r="D25" s="220"/>
      <c r="E25" s="220"/>
      <c r="F25" s="141"/>
      <c r="G25" s="141"/>
      <c r="H25" s="145"/>
      <c r="I25" s="141"/>
      <c r="J25" s="220"/>
      <c r="K25" s="340"/>
      <c r="L25" s="220"/>
      <c r="M25" s="141"/>
      <c r="N25" s="143"/>
      <c r="O25" s="143"/>
      <c r="P25" s="143"/>
      <c r="Q25" s="143"/>
      <c r="R25" s="144"/>
      <c r="S25" s="145"/>
      <c r="T25" s="145"/>
      <c r="U25" s="145"/>
      <c r="V25" s="145"/>
      <c r="W25" s="145"/>
      <c r="X25" s="145"/>
      <c r="Y25" s="375"/>
      <c r="Z25" s="375"/>
      <c r="AA25" s="375" t="s">
        <v>78</v>
      </c>
      <c r="AB25" s="384">
        <v>3</v>
      </c>
      <c r="AC25" s="384">
        <v>2</v>
      </c>
      <c r="AD25" s="384">
        <v>1</v>
      </c>
      <c r="AE25" s="384">
        <v>0</v>
      </c>
      <c r="AF25" s="384">
        <v>0</v>
      </c>
      <c r="AG25" s="384">
        <v>0</v>
      </c>
      <c r="AH25" s="384">
        <v>0</v>
      </c>
      <c r="AI25" s="371"/>
      <c r="AJ25" s="371"/>
      <c r="AK25" s="371"/>
      <c r="AL25" s="145"/>
      <c r="AM25" s="145"/>
      <c r="AN25" s="145"/>
      <c r="AO25" s="145"/>
      <c r="AP25" s="145"/>
      <c r="AQ25" s="145"/>
      <c r="AR25" s="145"/>
      <c r="AS25" s="145"/>
    </row>
    <row r="26" spans="1:45" s="34" customFormat="1" ht="9.6" customHeight="1" x14ac:dyDescent="0.2">
      <c r="A26" s="221"/>
      <c r="B26" s="141"/>
      <c r="C26" s="141"/>
      <c r="D26" s="141"/>
      <c r="E26" s="220"/>
      <c r="F26" s="141"/>
      <c r="G26" s="141"/>
      <c r="H26" s="141"/>
      <c r="I26" s="141"/>
      <c r="J26" s="220"/>
      <c r="K26" s="141"/>
      <c r="L26" s="141"/>
      <c r="M26" s="141"/>
      <c r="N26" s="143"/>
      <c r="O26" s="143"/>
      <c r="P26" s="143"/>
      <c r="Q26" s="143"/>
      <c r="R26" s="144"/>
      <c r="S26" s="178"/>
      <c r="T26" s="145"/>
      <c r="U26" s="145"/>
      <c r="V26" s="145"/>
      <c r="W26" s="145"/>
      <c r="X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1"/>
      <c r="AJ26" s="371"/>
      <c r="AK26" s="371"/>
      <c r="AL26" s="145"/>
      <c r="AM26" s="145"/>
      <c r="AN26" s="145"/>
      <c r="AO26" s="145"/>
      <c r="AP26" s="145"/>
      <c r="AQ26" s="145"/>
      <c r="AR26" s="145"/>
      <c r="AS26" s="145"/>
    </row>
    <row r="27" spans="1:45" s="34" customFormat="1" ht="9.6" customHeight="1" x14ac:dyDescent="0.2">
      <c r="A27" s="221"/>
      <c r="B27" s="220"/>
      <c r="C27" s="220"/>
      <c r="D27" s="220"/>
      <c r="E27" s="220"/>
      <c r="F27" s="141"/>
      <c r="G27" s="141"/>
      <c r="H27" s="145"/>
      <c r="I27" s="340"/>
      <c r="J27" s="220"/>
      <c r="K27" s="141"/>
      <c r="L27" s="141"/>
      <c r="M27" s="141"/>
      <c r="N27" s="143"/>
      <c r="O27" s="143"/>
      <c r="P27" s="143"/>
      <c r="Q27" s="143"/>
      <c r="R27" s="144"/>
      <c r="S27" s="145"/>
      <c r="T27" s="145"/>
      <c r="U27" s="145"/>
      <c r="V27" s="145"/>
      <c r="W27" s="145"/>
      <c r="X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1"/>
      <c r="AJ27" s="371"/>
      <c r="AK27" s="371"/>
      <c r="AL27" s="145"/>
      <c r="AM27" s="145"/>
      <c r="AN27" s="145"/>
      <c r="AO27" s="145"/>
      <c r="AP27" s="145"/>
      <c r="AQ27" s="145"/>
      <c r="AR27" s="145"/>
      <c r="AS27" s="145"/>
    </row>
    <row r="28" spans="1:45" s="34" customFormat="1" ht="9.6" customHeight="1" x14ac:dyDescent="0.2">
      <c r="A28" s="221"/>
      <c r="B28" s="141"/>
      <c r="C28" s="141"/>
      <c r="D28" s="141"/>
      <c r="E28" s="220"/>
      <c r="F28" s="141"/>
      <c r="G28" s="141"/>
      <c r="H28" s="141"/>
      <c r="I28" s="141"/>
      <c r="J28" s="220"/>
      <c r="K28" s="141"/>
      <c r="L28" s="141"/>
      <c r="M28" s="141"/>
      <c r="N28" s="143"/>
      <c r="O28" s="143"/>
      <c r="P28" s="143"/>
      <c r="Q28" s="143"/>
      <c r="R28" s="144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393"/>
      <c r="AJ28" s="393"/>
      <c r="AK28" s="393"/>
      <c r="AL28" s="145"/>
      <c r="AM28" s="145"/>
      <c r="AN28" s="145"/>
      <c r="AO28" s="145"/>
      <c r="AP28" s="145"/>
      <c r="AQ28" s="145"/>
      <c r="AR28" s="145"/>
      <c r="AS28" s="145"/>
    </row>
    <row r="29" spans="1:45" s="34" customFormat="1" ht="9.6" customHeight="1" x14ac:dyDescent="0.2">
      <c r="A29" s="221"/>
      <c r="B29" s="220"/>
      <c r="C29" s="220"/>
      <c r="D29" s="220"/>
      <c r="E29" s="220"/>
      <c r="F29" s="141"/>
      <c r="G29" s="141"/>
      <c r="H29" s="145"/>
      <c r="I29" s="141"/>
      <c r="J29" s="220"/>
      <c r="K29" s="141"/>
      <c r="L29" s="141"/>
      <c r="M29" s="340"/>
      <c r="N29" s="220"/>
      <c r="O29" s="141"/>
      <c r="P29" s="143"/>
      <c r="Q29" s="143"/>
      <c r="R29" s="144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393"/>
      <c r="AJ29" s="393"/>
      <c r="AK29" s="393"/>
      <c r="AL29" s="145"/>
      <c r="AM29" s="145"/>
      <c r="AN29" s="145"/>
      <c r="AO29" s="145"/>
      <c r="AP29" s="145"/>
      <c r="AQ29" s="145"/>
      <c r="AR29" s="145"/>
      <c r="AS29" s="145"/>
    </row>
    <row r="30" spans="1:45" s="34" customFormat="1" ht="9.6" customHeight="1" x14ac:dyDescent="0.2">
      <c r="A30" s="221"/>
      <c r="B30" s="141"/>
      <c r="C30" s="141"/>
      <c r="D30" s="141"/>
      <c r="E30" s="220"/>
      <c r="F30" s="141"/>
      <c r="G30" s="141"/>
      <c r="H30" s="141"/>
      <c r="I30" s="141"/>
      <c r="J30" s="220"/>
      <c r="K30" s="141"/>
      <c r="L30" s="141"/>
      <c r="M30" s="141"/>
      <c r="N30" s="143"/>
      <c r="O30" s="141"/>
      <c r="P30" s="143"/>
      <c r="Q30" s="143"/>
      <c r="R30" s="144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393"/>
      <c r="AJ30" s="393"/>
      <c r="AK30" s="393"/>
      <c r="AL30" s="145"/>
      <c r="AM30" s="145"/>
      <c r="AN30" s="145"/>
      <c r="AO30" s="145"/>
      <c r="AP30" s="145"/>
      <c r="AQ30" s="145"/>
      <c r="AR30" s="145"/>
      <c r="AS30" s="145"/>
    </row>
    <row r="31" spans="1:45" s="34" customFormat="1" ht="9.6" customHeight="1" x14ac:dyDescent="0.2">
      <c r="A31" s="221"/>
      <c r="B31" s="220"/>
      <c r="C31" s="220"/>
      <c r="D31" s="220"/>
      <c r="E31" s="220"/>
      <c r="F31" s="141"/>
      <c r="G31" s="141"/>
      <c r="H31" s="145"/>
      <c r="I31" s="340"/>
      <c r="J31" s="220"/>
      <c r="K31" s="141"/>
      <c r="L31" s="141"/>
      <c r="M31" s="141"/>
      <c r="N31" s="143"/>
      <c r="O31" s="143"/>
      <c r="P31" s="143"/>
      <c r="Q31" s="143"/>
      <c r="R31" s="144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393"/>
      <c r="AJ31" s="393"/>
      <c r="AK31" s="393"/>
      <c r="AL31" s="145"/>
      <c r="AM31" s="145"/>
      <c r="AN31" s="145"/>
      <c r="AO31" s="145"/>
      <c r="AP31" s="145"/>
      <c r="AQ31" s="145"/>
      <c r="AR31" s="145"/>
      <c r="AS31" s="145"/>
    </row>
    <row r="32" spans="1:45" s="34" customFormat="1" ht="9.6" customHeight="1" x14ac:dyDescent="0.2">
      <c r="A32" s="221"/>
      <c r="B32" s="141"/>
      <c r="C32" s="141"/>
      <c r="D32" s="141"/>
      <c r="E32" s="220"/>
      <c r="F32" s="141"/>
      <c r="G32" s="141"/>
      <c r="H32" s="141"/>
      <c r="I32" s="141"/>
      <c r="J32" s="220"/>
      <c r="K32" s="141"/>
      <c r="L32" s="341"/>
      <c r="M32" s="141"/>
      <c r="N32" s="143"/>
      <c r="O32" s="143"/>
      <c r="P32" s="143"/>
      <c r="Q32" s="143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393"/>
      <c r="AJ32" s="393"/>
      <c r="AK32" s="393"/>
      <c r="AL32" s="145"/>
      <c r="AM32" s="145"/>
      <c r="AN32" s="145"/>
      <c r="AO32" s="145"/>
      <c r="AP32" s="145"/>
      <c r="AQ32" s="145"/>
      <c r="AR32" s="145"/>
      <c r="AS32" s="145"/>
    </row>
    <row r="33" spans="1:45" s="34" customFormat="1" ht="9.6" customHeight="1" x14ac:dyDescent="0.2">
      <c r="A33" s="221"/>
      <c r="B33" s="220"/>
      <c r="C33" s="220"/>
      <c r="D33" s="220"/>
      <c r="E33" s="220"/>
      <c r="F33" s="141"/>
      <c r="G33" s="141"/>
      <c r="H33" s="145"/>
      <c r="I33" s="141"/>
      <c r="J33" s="220"/>
      <c r="K33" s="340"/>
      <c r="L33" s="220"/>
      <c r="M33" s="141"/>
      <c r="N33" s="143"/>
      <c r="O33" s="143"/>
      <c r="P33" s="143"/>
      <c r="Q33" s="143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393"/>
      <c r="AJ33" s="393"/>
      <c r="AK33" s="393"/>
      <c r="AL33" s="145"/>
      <c r="AM33" s="145"/>
      <c r="AN33" s="145"/>
      <c r="AO33" s="145"/>
      <c r="AP33" s="145"/>
      <c r="AQ33" s="145"/>
      <c r="AR33" s="145"/>
      <c r="AS33" s="145"/>
    </row>
    <row r="34" spans="1:45" s="34" customFormat="1" ht="9.6" customHeight="1" x14ac:dyDescent="0.2">
      <c r="A34" s="221"/>
      <c r="B34" s="141"/>
      <c r="C34" s="141"/>
      <c r="D34" s="141"/>
      <c r="E34" s="220"/>
      <c r="F34" s="141"/>
      <c r="G34" s="141"/>
      <c r="H34" s="141"/>
      <c r="I34" s="141"/>
      <c r="J34" s="220"/>
      <c r="K34" s="141"/>
      <c r="L34" s="141"/>
      <c r="M34" s="141"/>
      <c r="N34" s="143"/>
      <c r="O34" s="143"/>
      <c r="P34" s="143"/>
      <c r="Q34" s="143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393"/>
      <c r="AJ34" s="393"/>
      <c r="AK34" s="393"/>
      <c r="AL34" s="145"/>
      <c r="AM34" s="145"/>
      <c r="AN34" s="145"/>
      <c r="AO34" s="145"/>
      <c r="AP34" s="145"/>
      <c r="AQ34" s="145"/>
      <c r="AR34" s="145"/>
      <c r="AS34" s="145"/>
    </row>
    <row r="35" spans="1:45" s="34" customFormat="1" ht="9.6" customHeight="1" x14ac:dyDescent="0.2">
      <c r="A35" s="221"/>
      <c r="B35" s="220"/>
      <c r="C35" s="220"/>
      <c r="D35" s="220"/>
      <c r="E35" s="220"/>
      <c r="F35" s="141"/>
      <c r="G35" s="141"/>
      <c r="H35" s="145"/>
      <c r="I35" s="340"/>
      <c r="J35" s="220"/>
      <c r="K35" s="141"/>
      <c r="L35" s="141"/>
      <c r="M35" s="141"/>
      <c r="N35" s="143"/>
      <c r="O35" s="143"/>
      <c r="P35" s="143"/>
      <c r="Q35" s="143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393"/>
      <c r="AJ35" s="393"/>
      <c r="AK35" s="393"/>
      <c r="AL35" s="145"/>
      <c r="AM35" s="145"/>
      <c r="AN35" s="145"/>
      <c r="AO35" s="145"/>
      <c r="AP35" s="145"/>
      <c r="AQ35" s="145"/>
      <c r="AR35" s="145"/>
      <c r="AS35" s="145"/>
    </row>
    <row r="36" spans="1:45" s="34" customFormat="1" ht="9.6" customHeight="1" x14ac:dyDescent="0.2">
      <c r="A36" s="350"/>
      <c r="B36" s="141"/>
      <c r="C36" s="141"/>
      <c r="D36" s="141"/>
      <c r="E36" s="220"/>
      <c r="F36" s="141"/>
      <c r="G36" s="141"/>
      <c r="H36" s="141"/>
      <c r="I36" s="141"/>
      <c r="J36" s="220"/>
      <c r="K36" s="141"/>
      <c r="L36" s="141"/>
      <c r="M36" s="141"/>
      <c r="N36" s="141"/>
      <c r="O36" s="141"/>
      <c r="P36" s="141"/>
      <c r="Q36" s="143"/>
      <c r="R36" s="144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393"/>
      <c r="AJ36" s="393"/>
      <c r="AK36" s="393"/>
      <c r="AL36" s="145"/>
      <c r="AM36" s="145"/>
      <c r="AN36" s="145"/>
      <c r="AO36" s="145"/>
      <c r="AP36" s="145"/>
      <c r="AQ36" s="145"/>
      <c r="AR36" s="145"/>
      <c r="AS36" s="145"/>
    </row>
    <row r="37" spans="1:45" s="34" customFormat="1" ht="9.6" customHeight="1" x14ac:dyDescent="0.2">
      <c r="A37" s="221"/>
      <c r="B37" s="220"/>
      <c r="C37" s="220"/>
      <c r="D37" s="220"/>
      <c r="E37" s="220"/>
      <c r="F37" s="336"/>
      <c r="G37" s="336"/>
      <c r="H37" s="339"/>
      <c r="I37" s="321"/>
      <c r="J37" s="329"/>
      <c r="K37" s="321"/>
      <c r="L37" s="321"/>
      <c r="M37" s="321"/>
      <c r="N37" s="331"/>
      <c r="O37" s="331"/>
      <c r="P37" s="331"/>
      <c r="Q37" s="143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393"/>
      <c r="AJ37" s="393"/>
      <c r="AK37" s="393"/>
      <c r="AL37" s="145"/>
      <c r="AM37" s="145"/>
      <c r="AN37" s="145"/>
      <c r="AO37" s="145"/>
      <c r="AP37" s="145"/>
      <c r="AQ37" s="145"/>
      <c r="AR37" s="145"/>
      <c r="AS37" s="145"/>
    </row>
    <row r="38" spans="1:45" s="34" customFormat="1" ht="9.6" customHeight="1" x14ac:dyDescent="0.2">
      <c r="A38" s="350"/>
      <c r="B38" s="141"/>
      <c r="C38" s="141"/>
      <c r="D38" s="141"/>
      <c r="E38" s="220"/>
      <c r="F38" s="141"/>
      <c r="G38" s="141"/>
      <c r="H38" s="141"/>
      <c r="I38" s="141"/>
      <c r="J38" s="220"/>
      <c r="K38" s="141"/>
      <c r="L38" s="141"/>
      <c r="M38" s="141"/>
      <c r="N38" s="143"/>
      <c r="O38" s="143"/>
      <c r="P38" s="143"/>
      <c r="Q38" s="143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393"/>
      <c r="AJ38" s="393"/>
      <c r="AK38" s="393"/>
      <c r="AL38" s="145"/>
      <c r="AM38" s="145"/>
      <c r="AN38" s="145"/>
      <c r="AO38" s="145"/>
      <c r="AP38" s="145"/>
      <c r="AQ38" s="145"/>
      <c r="AR38" s="145"/>
      <c r="AS38" s="145"/>
    </row>
    <row r="39" spans="1:45" s="34" customFormat="1" ht="9.6" customHeight="1" x14ac:dyDescent="0.2">
      <c r="A39" s="221"/>
      <c r="B39" s="220"/>
      <c r="C39" s="220"/>
      <c r="D39" s="220"/>
      <c r="E39" s="220"/>
      <c r="F39" s="141"/>
      <c r="G39" s="141"/>
      <c r="H39" s="145"/>
      <c r="I39" s="340"/>
      <c r="J39" s="220"/>
      <c r="K39" s="141"/>
      <c r="L39" s="141"/>
      <c r="M39" s="141"/>
      <c r="N39" s="143"/>
      <c r="O39" s="143"/>
      <c r="P39" s="143"/>
      <c r="Q39" s="143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393"/>
      <c r="AJ39" s="393"/>
      <c r="AK39" s="393"/>
      <c r="AL39" s="145"/>
      <c r="AM39" s="145"/>
      <c r="AN39" s="145"/>
      <c r="AO39" s="145"/>
      <c r="AP39" s="145"/>
      <c r="AQ39" s="145"/>
      <c r="AR39" s="145"/>
      <c r="AS39" s="145"/>
    </row>
    <row r="40" spans="1:45" s="34" customFormat="1" ht="9.6" customHeight="1" x14ac:dyDescent="0.2">
      <c r="A40" s="221"/>
      <c r="B40" s="141"/>
      <c r="C40" s="141"/>
      <c r="D40" s="141"/>
      <c r="E40" s="220"/>
      <c r="F40" s="141"/>
      <c r="G40" s="141"/>
      <c r="H40" s="141"/>
      <c r="I40" s="141"/>
      <c r="J40" s="220"/>
      <c r="K40" s="141"/>
      <c r="L40" s="341"/>
      <c r="M40" s="141"/>
      <c r="N40" s="143"/>
      <c r="O40" s="143"/>
      <c r="P40" s="143"/>
      <c r="Q40" s="143"/>
      <c r="R40" s="144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393"/>
      <c r="AJ40" s="393"/>
      <c r="AK40" s="393"/>
      <c r="AL40" s="145"/>
      <c r="AM40" s="145"/>
      <c r="AN40" s="145"/>
      <c r="AO40" s="145"/>
      <c r="AP40" s="145"/>
      <c r="AQ40" s="145"/>
      <c r="AR40" s="145"/>
      <c r="AS40" s="145"/>
    </row>
    <row r="41" spans="1:45" s="34" customFormat="1" ht="9.6" customHeight="1" x14ac:dyDescent="0.2">
      <c r="A41" s="221"/>
      <c r="B41" s="220"/>
      <c r="C41" s="220"/>
      <c r="D41" s="220"/>
      <c r="E41" s="220"/>
      <c r="F41" s="141"/>
      <c r="G41" s="141"/>
      <c r="H41" s="145"/>
      <c r="I41" s="141"/>
      <c r="J41" s="220"/>
      <c r="K41" s="340"/>
      <c r="L41" s="220"/>
      <c r="M41" s="141"/>
      <c r="N41" s="143"/>
      <c r="O41" s="143"/>
      <c r="P41" s="143"/>
      <c r="Q41" s="143"/>
      <c r="R41" s="144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393"/>
      <c r="AJ41" s="393"/>
      <c r="AK41" s="393"/>
      <c r="AL41" s="145"/>
      <c r="AM41" s="145"/>
      <c r="AN41" s="145"/>
      <c r="AO41" s="145"/>
      <c r="AP41" s="145"/>
      <c r="AQ41" s="145"/>
      <c r="AR41" s="145"/>
      <c r="AS41" s="145"/>
    </row>
    <row r="42" spans="1:45" s="34" customFormat="1" ht="9.6" customHeight="1" x14ac:dyDescent="0.2">
      <c r="A42" s="221"/>
      <c r="B42" s="141"/>
      <c r="C42" s="141"/>
      <c r="D42" s="141"/>
      <c r="E42" s="220"/>
      <c r="F42" s="141"/>
      <c r="G42" s="141"/>
      <c r="H42" s="141"/>
      <c r="I42" s="141"/>
      <c r="J42" s="220"/>
      <c r="K42" s="141"/>
      <c r="L42" s="141"/>
      <c r="M42" s="141"/>
      <c r="N42" s="143"/>
      <c r="O42" s="143"/>
      <c r="P42" s="143"/>
      <c r="Q42" s="143"/>
      <c r="R42" s="144"/>
      <c r="S42" s="178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393"/>
      <c r="AJ42" s="393"/>
      <c r="AK42" s="393"/>
      <c r="AL42" s="145"/>
      <c r="AM42" s="145"/>
      <c r="AN42" s="145"/>
      <c r="AO42" s="145"/>
      <c r="AP42" s="145"/>
      <c r="AQ42" s="145"/>
      <c r="AR42" s="145"/>
      <c r="AS42" s="145"/>
    </row>
    <row r="43" spans="1:45" s="34" customFormat="1" ht="9.6" customHeight="1" x14ac:dyDescent="0.2">
      <c r="A43" s="221"/>
      <c r="B43" s="220"/>
      <c r="C43" s="220"/>
      <c r="D43" s="220"/>
      <c r="E43" s="220"/>
      <c r="F43" s="141"/>
      <c r="G43" s="141"/>
      <c r="H43" s="145"/>
      <c r="I43" s="340"/>
      <c r="J43" s="220"/>
      <c r="K43" s="141"/>
      <c r="L43" s="141"/>
      <c r="M43" s="141"/>
      <c r="N43" s="143"/>
      <c r="O43" s="143"/>
      <c r="P43" s="143"/>
      <c r="Q43" s="143"/>
      <c r="R43" s="144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393"/>
      <c r="AJ43" s="393"/>
      <c r="AK43" s="393"/>
      <c r="AL43" s="145"/>
      <c r="AM43" s="145"/>
      <c r="AN43" s="145"/>
      <c r="AO43" s="145"/>
      <c r="AP43" s="145"/>
      <c r="AQ43" s="145"/>
      <c r="AR43" s="145"/>
      <c r="AS43" s="145"/>
    </row>
    <row r="44" spans="1:45" s="34" customFormat="1" ht="9.6" customHeight="1" x14ac:dyDescent="0.2">
      <c r="A44" s="221"/>
      <c r="B44" s="141"/>
      <c r="C44" s="141"/>
      <c r="D44" s="141"/>
      <c r="E44" s="220"/>
      <c r="F44" s="141"/>
      <c r="G44" s="141"/>
      <c r="H44" s="141"/>
      <c r="I44" s="141"/>
      <c r="J44" s="220"/>
      <c r="K44" s="141"/>
      <c r="L44" s="141"/>
      <c r="M44" s="141"/>
      <c r="N44" s="143"/>
      <c r="O44" s="143"/>
      <c r="P44" s="143"/>
      <c r="Q44" s="143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393"/>
      <c r="AJ44" s="393"/>
      <c r="AK44" s="393"/>
      <c r="AL44" s="145"/>
      <c r="AM44" s="145"/>
      <c r="AN44" s="145"/>
      <c r="AO44" s="145"/>
      <c r="AP44" s="145"/>
      <c r="AQ44" s="145"/>
      <c r="AR44" s="145"/>
      <c r="AS44" s="145"/>
    </row>
    <row r="45" spans="1:45" s="34" customFormat="1" ht="9.6" customHeight="1" x14ac:dyDescent="0.2">
      <c r="A45" s="221"/>
      <c r="B45" s="220"/>
      <c r="C45" s="220"/>
      <c r="D45" s="220"/>
      <c r="E45" s="220"/>
      <c r="F45" s="141"/>
      <c r="G45" s="141"/>
      <c r="H45" s="145"/>
      <c r="I45" s="141"/>
      <c r="J45" s="220"/>
      <c r="K45" s="141"/>
      <c r="L45" s="141"/>
      <c r="M45" s="340"/>
      <c r="N45" s="220"/>
      <c r="O45" s="141"/>
      <c r="P45" s="143"/>
      <c r="Q45" s="143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393"/>
      <c r="AJ45" s="393"/>
      <c r="AK45" s="393"/>
      <c r="AL45" s="145"/>
      <c r="AM45" s="145"/>
      <c r="AN45" s="145"/>
      <c r="AO45" s="145"/>
      <c r="AP45" s="145"/>
      <c r="AQ45" s="145"/>
      <c r="AR45" s="145"/>
      <c r="AS45" s="145"/>
    </row>
    <row r="46" spans="1:45" s="34" customFormat="1" ht="9.6" customHeight="1" x14ac:dyDescent="0.2">
      <c r="A46" s="221"/>
      <c r="B46" s="141"/>
      <c r="C46" s="141"/>
      <c r="D46" s="141"/>
      <c r="E46" s="220"/>
      <c r="F46" s="141"/>
      <c r="G46" s="141"/>
      <c r="H46" s="141"/>
      <c r="I46" s="141"/>
      <c r="J46" s="220"/>
      <c r="K46" s="141"/>
      <c r="L46" s="141"/>
      <c r="M46" s="141"/>
      <c r="N46" s="143"/>
      <c r="O46" s="141"/>
      <c r="P46" s="143"/>
      <c r="Q46" s="143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393"/>
      <c r="AJ46" s="393"/>
      <c r="AK46" s="393"/>
      <c r="AL46" s="145"/>
      <c r="AM46" s="145"/>
      <c r="AN46" s="145"/>
      <c r="AO46" s="145"/>
      <c r="AP46" s="145"/>
      <c r="AQ46" s="145"/>
      <c r="AR46" s="145"/>
      <c r="AS46" s="145"/>
    </row>
    <row r="47" spans="1:45" s="34" customFormat="1" ht="9.6" customHeight="1" x14ac:dyDescent="0.2">
      <c r="A47" s="221"/>
      <c r="B47" s="220"/>
      <c r="C47" s="220"/>
      <c r="D47" s="220"/>
      <c r="E47" s="220"/>
      <c r="F47" s="141"/>
      <c r="G47" s="141"/>
      <c r="H47" s="145"/>
      <c r="I47" s="340"/>
      <c r="J47" s="220"/>
      <c r="K47" s="141"/>
      <c r="L47" s="141"/>
      <c r="M47" s="141"/>
      <c r="N47" s="143"/>
      <c r="O47" s="143"/>
      <c r="P47" s="143"/>
      <c r="Q47" s="143"/>
      <c r="R47" s="144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393"/>
      <c r="AJ47" s="393"/>
      <c r="AK47" s="393"/>
      <c r="AL47" s="145"/>
      <c r="AM47" s="145"/>
      <c r="AN47" s="145"/>
      <c r="AO47" s="145"/>
      <c r="AP47" s="145"/>
      <c r="AQ47" s="145"/>
      <c r="AR47" s="145"/>
      <c r="AS47" s="145"/>
    </row>
    <row r="48" spans="1:45" s="34" customFormat="1" ht="9.6" customHeight="1" x14ac:dyDescent="0.2">
      <c r="A48" s="221"/>
      <c r="B48" s="141"/>
      <c r="C48" s="141"/>
      <c r="D48" s="141"/>
      <c r="E48" s="220"/>
      <c r="F48" s="141"/>
      <c r="G48" s="141"/>
      <c r="H48" s="141"/>
      <c r="I48" s="141"/>
      <c r="J48" s="220"/>
      <c r="K48" s="141"/>
      <c r="L48" s="341"/>
      <c r="M48" s="141"/>
      <c r="N48" s="143"/>
      <c r="O48" s="143"/>
      <c r="P48" s="143"/>
      <c r="Q48" s="143"/>
      <c r="R48" s="144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393"/>
      <c r="AJ48" s="393"/>
      <c r="AK48" s="393"/>
      <c r="AL48" s="145"/>
      <c r="AM48" s="145"/>
      <c r="AN48" s="145"/>
      <c r="AO48" s="145"/>
      <c r="AP48" s="145"/>
      <c r="AQ48" s="145"/>
      <c r="AR48" s="145"/>
      <c r="AS48" s="145"/>
    </row>
    <row r="49" spans="1:45" s="34" customFormat="1" ht="9.6" customHeight="1" x14ac:dyDescent="0.2">
      <c r="A49" s="221"/>
      <c r="B49" s="220"/>
      <c r="C49" s="220"/>
      <c r="D49" s="220"/>
      <c r="E49" s="220"/>
      <c r="F49" s="141"/>
      <c r="G49" s="141"/>
      <c r="H49" s="145"/>
      <c r="I49" s="141"/>
      <c r="J49" s="220"/>
      <c r="K49" s="340"/>
      <c r="L49" s="220"/>
      <c r="M49" s="141"/>
      <c r="N49" s="143"/>
      <c r="O49" s="143"/>
      <c r="P49" s="143"/>
      <c r="Q49" s="143"/>
      <c r="R49" s="144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393"/>
      <c r="AJ49" s="393"/>
      <c r="AK49" s="393"/>
      <c r="AL49" s="145"/>
      <c r="AM49" s="145"/>
      <c r="AN49" s="145"/>
      <c r="AO49" s="145"/>
      <c r="AP49" s="145"/>
      <c r="AQ49" s="145"/>
      <c r="AR49" s="145"/>
      <c r="AS49" s="145"/>
    </row>
    <row r="50" spans="1:45" s="34" customFormat="1" ht="9.6" customHeight="1" x14ac:dyDescent="0.2">
      <c r="A50" s="221"/>
      <c r="B50" s="141"/>
      <c r="C50" s="141"/>
      <c r="D50" s="141"/>
      <c r="E50" s="220"/>
      <c r="F50" s="141"/>
      <c r="G50" s="141"/>
      <c r="H50" s="141"/>
      <c r="I50" s="141"/>
      <c r="J50" s="220"/>
      <c r="K50" s="141"/>
      <c r="L50" s="141"/>
      <c r="M50" s="141"/>
      <c r="N50" s="143"/>
      <c r="O50" s="143"/>
      <c r="P50" s="143"/>
      <c r="Q50" s="143"/>
      <c r="R50" s="144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393"/>
      <c r="AJ50" s="393"/>
      <c r="AK50" s="393"/>
      <c r="AL50" s="145"/>
      <c r="AM50" s="145"/>
      <c r="AN50" s="145"/>
      <c r="AO50" s="145"/>
      <c r="AP50" s="145"/>
      <c r="AQ50" s="145"/>
      <c r="AR50" s="145"/>
      <c r="AS50" s="145"/>
    </row>
    <row r="51" spans="1:45" s="34" customFormat="1" ht="9.6" customHeight="1" x14ac:dyDescent="0.2">
      <c r="A51" s="221"/>
      <c r="B51" s="220"/>
      <c r="C51" s="220"/>
      <c r="D51" s="220"/>
      <c r="E51" s="220"/>
      <c r="F51" s="141"/>
      <c r="G51" s="141"/>
      <c r="H51" s="145"/>
      <c r="I51" s="340"/>
      <c r="J51" s="220"/>
      <c r="K51" s="141"/>
      <c r="L51" s="141"/>
      <c r="M51" s="141"/>
      <c r="N51" s="143"/>
      <c r="O51" s="143"/>
      <c r="P51" s="143"/>
      <c r="Q51" s="143"/>
      <c r="R51" s="14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393"/>
      <c r="AJ51" s="393"/>
      <c r="AK51" s="393"/>
      <c r="AL51" s="145"/>
      <c r="AM51" s="145"/>
      <c r="AN51" s="145"/>
      <c r="AO51" s="145"/>
      <c r="AP51" s="145"/>
      <c r="AQ51" s="145"/>
      <c r="AR51" s="145"/>
      <c r="AS51" s="145"/>
    </row>
    <row r="52" spans="1:45" s="34" customFormat="1" ht="9.6" customHeight="1" x14ac:dyDescent="0.2">
      <c r="A52" s="350"/>
      <c r="B52" s="141"/>
      <c r="C52" s="141"/>
      <c r="D52" s="141"/>
      <c r="E52" s="220"/>
      <c r="F52" s="426"/>
      <c r="G52" s="426"/>
      <c r="H52" s="426"/>
      <c r="I52" s="426"/>
      <c r="J52" s="220"/>
      <c r="K52" s="141"/>
      <c r="L52" s="141"/>
      <c r="M52" s="141"/>
      <c r="N52" s="141"/>
      <c r="O52" s="141"/>
      <c r="P52" s="141"/>
      <c r="Q52" s="143"/>
      <c r="R52" s="144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393"/>
      <c r="AJ52" s="393"/>
      <c r="AK52" s="393"/>
      <c r="AL52" s="145"/>
      <c r="AM52" s="145"/>
      <c r="AN52" s="145"/>
      <c r="AO52" s="145"/>
      <c r="AP52" s="145"/>
      <c r="AQ52" s="145"/>
      <c r="AR52" s="145"/>
      <c r="AS52" s="145"/>
    </row>
    <row r="53" spans="1:45" s="2" customFormat="1" ht="6.75" customHeight="1" x14ac:dyDescent="0.2">
      <c r="A53" s="179"/>
      <c r="B53" s="179"/>
      <c r="C53" s="179"/>
      <c r="D53" s="179"/>
      <c r="E53" s="179"/>
      <c r="F53" s="427"/>
      <c r="G53" s="427"/>
      <c r="H53" s="427"/>
      <c r="I53" s="427"/>
      <c r="J53" s="181"/>
      <c r="K53" s="182"/>
      <c r="L53" s="183"/>
      <c r="M53" s="182"/>
      <c r="N53" s="183"/>
      <c r="O53" s="182"/>
      <c r="P53" s="183"/>
      <c r="Q53" s="182"/>
      <c r="R53" s="183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393"/>
      <c r="AJ53" s="393"/>
      <c r="AK53" s="393"/>
      <c r="AL53" s="184"/>
      <c r="AM53" s="184"/>
      <c r="AN53" s="184"/>
      <c r="AO53" s="184"/>
      <c r="AP53" s="184"/>
      <c r="AQ53" s="184"/>
      <c r="AR53" s="184"/>
      <c r="AS53" s="184"/>
    </row>
    <row r="54" spans="1:45" s="18" customFormat="1" ht="10.5" customHeight="1" x14ac:dyDescent="0.2">
      <c r="A54" s="185" t="s">
        <v>44</v>
      </c>
      <c r="B54" s="186"/>
      <c r="C54" s="186"/>
      <c r="D54" s="276"/>
      <c r="E54" s="187" t="s">
        <v>5</v>
      </c>
      <c r="F54" s="188" t="s">
        <v>46</v>
      </c>
      <c r="G54" s="187"/>
      <c r="H54" s="189"/>
      <c r="I54" s="190"/>
      <c r="J54" s="187" t="s">
        <v>5</v>
      </c>
      <c r="K54" s="188" t="s">
        <v>54</v>
      </c>
      <c r="L54" s="191"/>
      <c r="M54" s="188" t="s">
        <v>55</v>
      </c>
      <c r="N54" s="192"/>
      <c r="O54" s="193" t="s">
        <v>56</v>
      </c>
      <c r="P54" s="193"/>
      <c r="Q54" s="194"/>
      <c r="R54" s="195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394"/>
      <c r="AJ54" s="394"/>
      <c r="AK54" s="394"/>
      <c r="AL54" s="87"/>
      <c r="AM54" s="87"/>
      <c r="AN54" s="87"/>
      <c r="AO54" s="87"/>
      <c r="AP54" s="87"/>
      <c r="AQ54" s="87"/>
      <c r="AR54" s="87"/>
      <c r="AS54" s="87"/>
    </row>
    <row r="55" spans="1:45" s="18" customFormat="1" ht="9" customHeight="1" x14ac:dyDescent="0.2">
      <c r="A55" s="359" t="s">
        <v>45</v>
      </c>
      <c r="B55" s="360"/>
      <c r="C55" s="361"/>
      <c r="D55" s="362"/>
      <c r="E55" s="198">
        <v>1</v>
      </c>
      <c r="F55" s="87" t="str">
        <f>IF(E55&gt;$R$62,,UPPER(VLOOKUP(E55,'F12 csapat ELO'!$A$7:$Q$134,2)))</f>
        <v>TENISZ MŰHELY</v>
      </c>
      <c r="G55" s="198"/>
      <c r="H55" s="87"/>
      <c r="I55" s="86"/>
      <c r="J55" s="351" t="s">
        <v>6</v>
      </c>
      <c r="K55" s="85"/>
      <c r="L55" s="352"/>
      <c r="M55" s="85"/>
      <c r="N55" s="353"/>
      <c r="O55" s="354" t="s">
        <v>47</v>
      </c>
      <c r="P55" s="355"/>
      <c r="Q55" s="355"/>
      <c r="R55" s="353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394"/>
      <c r="AJ55" s="394"/>
      <c r="AK55" s="394"/>
      <c r="AL55" s="87"/>
      <c r="AM55" s="87"/>
      <c r="AN55" s="87"/>
      <c r="AO55" s="87"/>
      <c r="AP55" s="87"/>
      <c r="AQ55" s="87"/>
      <c r="AR55" s="87"/>
      <c r="AS55" s="87"/>
    </row>
    <row r="56" spans="1:45" s="18" customFormat="1" ht="9" customHeight="1" x14ac:dyDescent="0.2">
      <c r="A56" s="363" t="s">
        <v>53</v>
      </c>
      <c r="B56" s="222"/>
      <c r="C56" s="364"/>
      <c r="D56" s="365"/>
      <c r="E56" s="198">
        <v>2</v>
      </c>
      <c r="F56" s="87" t="str">
        <f>IF(E56&gt;$R$62,,UPPER(VLOOKUP(E56,'F12 csapat ELO'!$A$7:$Q$134,2)))</f>
        <v>PASARÉT TK 1</v>
      </c>
      <c r="G56" s="198"/>
      <c r="H56" s="87"/>
      <c r="I56" s="86"/>
      <c r="J56" s="351" t="s">
        <v>7</v>
      </c>
      <c r="K56" s="85"/>
      <c r="L56" s="352"/>
      <c r="M56" s="85"/>
      <c r="N56" s="353"/>
      <c r="O56" s="214"/>
      <c r="P56" s="356"/>
      <c r="Q56" s="222"/>
      <c r="R56" s="35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394"/>
      <c r="AJ56" s="394"/>
      <c r="AK56" s="394"/>
      <c r="AL56" s="87"/>
      <c r="AM56" s="87"/>
      <c r="AN56" s="87"/>
      <c r="AO56" s="87"/>
      <c r="AP56" s="87"/>
      <c r="AQ56" s="87"/>
      <c r="AR56" s="87"/>
      <c r="AS56" s="87"/>
    </row>
    <row r="57" spans="1:45" s="18" customFormat="1" ht="9" customHeight="1" x14ac:dyDescent="0.2">
      <c r="A57" s="236"/>
      <c r="B57" s="237"/>
      <c r="C57" s="274"/>
      <c r="D57" s="238"/>
      <c r="E57" s="198"/>
      <c r="F57" s="87"/>
      <c r="G57" s="198"/>
      <c r="H57" s="87"/>
      <c r="I57" s="86"/>
      <c r="J57" s="351" t="s">
        <v>8</v>
      </c>
      <c r="K57" s="85"/>
      <c r="L57" s="352"/>
      <c r="M57" s="85"/>
      <c r="N57" s="353"/>
      <c r="O57" s="354" t="s">
        <v>48</v>
      </c>
      <c r="P57" s="355"/>
      <c r="Q57" s="355"/>
      <c r="R57" s="353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394"/>
      <c r="AJ57" s="394"/>
      <c r="AK57" s="394"/>
      <c r="AL57" s="87"/>
      <c r="AM57" s="87"/>
      <c r="AN57" s="87"/>
      <c r="AO57" s="87"/>
      <c r="AP57" s="87"/>
      <c r="AQ57" s="87"/>
      <c r="AR57" s="87"/>
      <c r="AS57" s="87"/>
    </row>
    <row r="58" spans="1:45" s="18" customFormat="1" ht="9" customHeight="1" x14ac:dyDescent="0.2">
      <c r="A58" s="211"/>
      <c r="B58" s="269"/>
      <c r="C58" s="269"/>
      <c r="D58" s="212"/>
      <c r="E58" s="198"/>
      <c r="F58" s="87"/>
      <c r="G58" s="198"/>
      <c r="H58" s="87"/>
      <c r="I58" s="86"/>
      <c r="J58" s="351" t="s">
        <v>9</v>
      </c>
      <c r="K58" s="85"/>
      <c r="L58" s="352"/>
      <c r="M58" s="85"/>
      <c r="N58" s="353"/>
      <c r="O58" s="85"/>
      <c r="P58" s="352"/>
      <c r="Q58" s="85"/>
      <c r="R58" s="353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394"/>
      <c r="AJ58" s="394"/>
      <c r="AK58" s="394"/>
      <c r="AL58" s="87"/>
      <c r="AM58" s="87"/>
      <c r="AN58" s="87"/>
      <c r="AO58" s="87"/>
      <c r="AP58" s="87"/>
      <c r="AQ58" s="87"/>
      <c r="AR58" s="87"/>
      <c r="AS58" s="87"/>
    </row>
    <row r="59" spans="1:45" s="18" customFormat="1" ht="9" customHeight="1" x14ac:dyDescent="0.2">
      <c r="A59" s="224"/>
      <c r="B59" s="239"/>
      <c r="C59" s="239"/>
      <c r="D59" s="275"/>
      <c r="E59" s="198"/>
      <c r="F59" s="87"/>
      <c r="G59" s="198"/>
      <c r="H59" s="87"/>
      <c r="I59" s="86"/>
      <c r="J59" s="351" t="s">
        <v>10</v>
      </c>
      <c r="K59" s="85"/>
      <c r="L59" s="352"/>
      <c r="M59" s="85"/>
      <c r="N59" s="353"/>
      <c r="O59" s="222"/>
      <c r="P59" s="356"/>
      <c r="Q59" s="222"/>
      <c r="R59" s="35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394"/>
      <c r="AJ59" s="394"/>
      <c r="AK59" s="394"/>
      <c r="AL59" s="87"/>
      <c r="AM59" s="87"/>
      <c r="AN59" s="87"/>
      <c r="AO59" s="87"/>
      <c r="AP59" s="87"/>
      <c r="AQ59" s="87"/>
      <c r="AR59" s="87"/>
      <c r="AS59" s="87"/>
    </row>
    <row r="60" spans="1:45" s="18" customFormat="1" ht="9" customHeight="1" x14ac:dyDescent="0.2">
      <c r="A60" s="225"/>
      <c r="B60" s="242"/>
      <c r="C60" s="269"/>
      <c r="D60" s="212"/>
      <c r="E60" s="198"/>
      <c r="F60" s="87"/>
      <c r="G60" s="198"/>
      <c r="H60" s="87"/>
      <c r="I60" s="86"/>
      <c r="J60" s="351" t="s">
        <v>11</v>
      </c>
      <c r="K60" s="85"/>
      <c r="L60" s="352"/>
      <c r="M60" s="85"/>
      <c r="N60" s="353"/>
      <c r="O60" s="354" t="s">
        <v>34</v>
      </c>
      <c r="P60" s="355"/>
      <c r="Q60" s="355"/>
      <c r="R60" s="353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394"/>
      <c r="AJ60" s="394"/>
      <c r="AK60" s="394"/>
      <c r="AL60" s="87"/>
      <c r="AM60" s="87"/>
      <c r="AN60" s="87"/>
      <c r="AO60" s="87"/>
      <c r="AP60" s="87"/>
      <c r="AQ60" s="87"/>
      <c r="AR60" s="87"/>
      <c r="AS60" s="87"/>
    </row>
    <row r="61" spans="1:45" s="18" customFormat="1" ht="9" customHeight="1" x14ac:dyDescent="0.2">
      <c r="A61" s="225"/>
      <c r="B61" s="242"/>
      <c r="C61" s="270"/>
      <c r="D61" s="234"/>
      <c r="E61" s="198"/>
      <c r="F61" s="87"/>
      <c r="G61" s="198"/>
      <c r="H61" s="87"/>
      <c r="I61" s="86"/>
      <c r="J61" s="351" t="s">
        <v>12</v>
      </c>
      <c r="K61" s="85"/>
      <c r="L61" s="352"/>
      <c r="M61" s="85"/>
      <c r="N61" s="353"/>
      <c r="O61" s="85"/>
      <c r="P61" s="352"/>
      <c r="Q61" s="85"/>
      <c r="R61" s="353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394"/>
      <c r="AJ61" s="394"/>
      <c r="AK61" s="394"/>
      <c r="AL61" s="87"/>
      <c r="AM61" s="87"/>
      <c r="AN61" s="87"/>
      <c r="AO61" s="87"/>
      <c r="AP61" s="87"/>
      <c r="AQ61" s="87"/>
      <c r="AR61" s="87"/>
      <c r="AS61" s="87"/>
    </row>
    <row r="62" spans="1:45" s="18" customFormat="1" ht="9" customHeight="1" x14ac:dyDescent="0.2">
      <c r="A62" s="226"/>
      <c r="B62" s="223"/>
      <c r="C62" s="271"/>
      <c r="D62" s="235"/>
      <c r="E62" s="215"/>
      <c r="F62" s="214"/>
      <c r="G62" s="215"/>
      <c r="H62" s="214"/>
      <c r="I62" s="216"/>
      <c r="J62" s="358" t="s">
        <v>13</v>
      </c>
      <c r="K62" s="222"/>
      <c r="L62" s="356"/>
      <c r="M62" s="222"/>
      <c r="N62" s="357"/>
      <c r="O62" s="222" t="str">
        <f>R4</f>
        <v>Rákóczi Andrea</v>
      </c>
      <c r="P62" s="356"/>
      <c r="Q62" s="222"/>
      <c r="R62" s="218">
        <f>MIN(4,'F12 csapat ELO'!Q5)</f>
        <v>4</v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394"/>
      <c r="AJ62" s="394"/>
      <c r="AK62" s="394"/>
      <c r="AL62" s="87"/>
      <c r="AM62" s="87"/>
      <c r="AN62" s="87"/>
      <c r="AO62" s="87"/>
      <c r="AP62" s="87"/>
      <c r="AQ62" s="87"/>
      <c r="AR62" s="87"/>
      <c r="AS62" s="87"/>
    </row>
    <row r="63" spans="1:45" x14ac:dyDescent="0.2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phoneticPr fontId="61" type="noConversion"/>
  <conditionalFormatting sqref="G50:I50 G34:I34 G36:I36 G22:I22 G24:I24 G26:I26 G28:I28 G30:I30 G32:I32 H21 G38:I38 G40:I40 G42:I42 G44:I44 G46:I46 G48:I48 H7 H9 H11 H13 H15 H17 H19">
    <cfRule type="expression" dxfId="156" priority="4" stopIfTrue="1">
      <formula>AND($E7&lt;9,$C7&gt;0)</formula>
    </cfRule>
  </conditionalFormatting>
  <conditionalFormatting sqref="I23 I43 K33 I31 K41 I51 I39 K49 I47 K10 M29 M45 I27 K25 I35 I8 I12 I16 I20 K18 M14">
    <cfRule type="expression" dxfId="155" priority="5" stopIfTrue="1">
      <formula>AND($O$1="CU",I8="Umpire")</formula>
    </cfRule>
    <cfRule type="expression" dxfId="154" priority="6" stopIfTrue="1">
      <formula>AND($O$1="CU",I8&lt;&gt;"Umpire",J8&lt;&gt;"")</formula>
    </cfRule>
    <cfRule type="expression" dxfId="153" priority="7" stopIfTrue="1">
      <formula>AND($O$1="CU",I8&lt;&gt;"Umpire")</formula>
    </cfRule>
  </conditionalFormatting>
  <conditionalFormatting sqref="E36 E30 E28 E26 E24 E22 E52 E50 E32 E48 E46 E44 E42 E40 E38 E34">
    <cfRule type="expression" dxfId="152" priority="8" stopIfTrue="1">
      <formula>AND($E22&lt;9,$C22&gt;0)</formula>
    </cfRule>
  </conditionalFormatting>
  <conditionalFormatting sqref="F38 F40 F42 F44 F46 F48 F50 F36 F22 F24 F26 F28 F30 F32 F34">
    <cfRule type="cellIs" dxfId="151" priority="9" stopIfTrue="1" operator="equal">
      <formula>"Bye"</formula>
    </cfRule>
    <cfRule type="expression" dxfId="150" priority="10" stopIfTrue="1">
      <formula>AND($E22&lt;9,$C22&gt;0)</formula>
    </cfRule>
  </conditionalFormatting>
  <conditionalFormatting sqref="M10 M18 O45 M41 M49 O14 O29 M25 M33 K8 K12 K16 K20 K39 K43 K47 K51 K23 K27 K31 K35">
    <cfRule type="expression" dxfId="149" priority="11" stopIfTrue="1">
      <formula>J8="as"</formula>
    </cfRule>
    <cfRule type="expression" dxfId="148" priority="12" stopIfTrue="1">
      <formula>J8="bs"</formula>
    </cfRule>
  </conditionalFormatting>
  <conditionalFormatting sqref="B40 B42 B44 B46 B48 B50 B52 B24 B26 B28 B30 B32 B34 B36 B38 B22">
    <cfRule type="cellIs" dxfId="147" priority="13" stopIfTrue="1" operator="equal">
      <formula>"QA"</formula>
    </cfRule>
    <cfRule type="cellIs" dxfId="146" priority="14" stopIfTrue="1" operator="equal">
      <formula>"DA"</formula>
    </cfRule>
  </conditionalFormatting>
  <conditionalFormatting sqref="R62 J8 J12 J16 J20 N14 L10 L18">
    <cfRule type="expression" dxfId="145" priority="15" stopIfTrue="1">
      <formula>$O$1="CU"</formula>
    </cfRule>
  </conditionalFormatting>
  <conditionalFormatting sqref="E21 E7">
    <cfRule type="expression" dxfId="144" priority="16" stopIfTrue="1">
      <formula>$E7&lt;5</formula>
    </cfRule>
  </conditionalFormatting>
  <conditionalFormatting sqref="F19 F21 F9 F17 F15 F13 F11 F7">
    <cfRule type="cellIs" dxfId="143" priority="17" stopIfTrue="1" operator="equal">
      <formula>"Bye"</formula>
    </cfRule>
  </conditionalFormatting>
  <conditionalFormatting sqref="O16">
    <cfRule type="expression" dxfId="142" priority="1" stopIfTrue="1">
      <formula>AND($O$1="CU",O16="Umpire")</formula>
    </cfRule>
    <cfRule type="expression" dxfId="141" priority="2" stopIfTrue="1">
      <formula>AND($O$1="CU",O16&lt;&gt;"Umpire",P16&lt;&gt;"")</formula>
    </cfRule>
    <cfRule type="expression" dxfId="14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7">
    <tabColor indexed="11"/>
  </sheetPr>
  <dimension ref="A1:AS140"/>
  <sheetViews>
    <sheetView workbookViewId="0">
      <selection activeCell="T15" sqref="T15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7" customWidth="1"/>
    <col min="11" max="11" width="10.7109375" customWidth="1"/>
    <col min="12" max="12" width="1.7109375" style="117" customWidth="1"/>
    <col min="13" max="13" width="10.7109375" customWidth="1"/>
    <col min="14" max="14" width="1.7109375" style="118" customWidth="1"/>
    <col min="15" max="15" width="10.7109375" customWidth="1"/>
    <col min="16" max="16" width="1.7109375" style="117" customWidth="1"/>
    <col min="17" max="17" width="10.7109375" customWidth="1"/>
    <col min="18" max="18" width="1.7109375" style="118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5" customWidth="1"/>
  </cols>
  <sheetData>
    <row r="1" spans="1:45" s="119" customFormat="1" ht="21.75" customHeight="1" x14ac:dyDescent="0.2">
      <c r="A1" s="297" t="str">
        <f>Altalanos!$A$6</f>
        <v>Budapest Bajnokság</v>
      </c>
      <c r="B1" s="297"/>
      <c r="C1" s="298"/>
      <c r="D1" s="298"/>
      <c r="E1" s="298"/>
      <c r="F1" s="298"/>
      <c r="G1" s="298"/>
      <c r="H1" s="297"/>
      <c r="I1" s="299"/>
      <c r="J1" s="300"/>
      <c r="K1" s="301" t="s">
        <v>52</v>
      </c>
      <c r="L1" s="302"/>
      <c r="M1" s="303"/>
      <c r="N1" s="300"/>
      <c r="O1" s="300" t="s">
        <v>14</v>
      </c>
      <c r="P1" s="300"/>
      <c r="Q1" s="298"/>
      <c r="R1" s="300"/>
      <c r="T1" s="349"/>
      <c r="U1" s="349"/>
      <c r="V1" s="349"/>
      <c r="W1" s="349"/>
      <c r="X1" s="349"/>
      <c r="Y1" s="349"/>
      <c r="Z1" s="349"/>
      <c r="AA1" s="349"/>
      <c r="AB1" s="385" t="str">
        <f>IF($Y$5=1,CONCATENATE(VLOOKUP($Y$3,$AA$2:$AH$14,2)),CONCATENATE(VLOOKUP($Y$3,$AA$16:$AH$25,2)))</f>
        <v>15</v>
      </c>
      <c r="AC1" s="385" t="str">
        <f>IF($Y$5=1,CONCATENATE(VLOOKUP($Y$3,$AA$2:$AH$14,3)),CONCATENATE(VLOOKUP($Y$3,$AA$16:$AH$25,3)))</f>
        <v>10</v>
      </c>
      <c r="AD1" s="385" t="str">
        <f>IF($Y$5=1,CONCATENATE(VLOOKUP($Y$3,$AA$2:$AH$14,4)),CONCATENATE(VLOOKUP($Y$3,$AA$16:$AH$25,4)))</f>
        <v>6</v>
      </c>
      <c r="AE1" s="385" t="str">
        <f>IF($Y$5=1,CONCATENATE(VLOOKUP($Y$3,$AA$2:$AH$14,5)),CONCATENATE(VLOOKUP($Y$3,$AA$16:$AH$25,5)))</f>
        <v>3</v>
      </c>
      <c r="AF1" s="385" t="str">
        <f>IF($Y$5=1,CONCATENATE(VLOOKUP($Y$3,$AA$2:$AH$14,6)),CONCATENATE(VLOOKUP($Y$3,$AA$16:$AH$25,6)))</f>
        <v>1</v>
      </c>
      <c r="AG1" s="385" t="str">
        <f>IF($Y$5=1,CONCATENATE(VLOOKUP($Y$3,$AA$2:$AH$14,7)),CONCATENATE(VLOOKUP($Y$3,$AA$16:$AH$25,7)))</f>
        <v>0</v>
      </c>
      <c r="AH1" s="385" t="str">
        <f>IF($Y$5=1,CONCATENATE(VLOOKUP($Y$3,$AA$2:$AH$14,8)),CONCATENATE(VLOOKUP($Y$3,$AA$16:$AH$25,8)))</f>
        <v>0</v>
      </c>
      <c r="AI1" s="392"/>
      <c r="AJ1" s="392"/>
      <c r="AK1" s="392"/>
    </row>
    <row r="2" spans="1:45" s="99" customFormat="1" x14ac:dyDescent="0.2">
      <c r="A2" s="304" t="s">
        <v>51</v>
      </c>
      <c r="B2" s="305"/>
      <c r="C2" s="305"/>
      <c r="D2" s="305"/>
      <c r="E2" s="433"/>
      <c r="F2" s="305"/>
      <c r="G2" s="306"/>
      <c r="H2" s="307"/>
      <c r="I2" s="307"/>
      <c r="J2" s="308"/>
      <c r="K2" s="302"/>
      <c r="L2" s="302"/>
      <c r="M2" s="302"/>
      <c r="N2" s="308"/>
      <c r="O2" s="307"/>
      <c r="P2" s="308"/>
      <c r="Q2" s="307"/>
      <c r="R2" s="308"/>
      <c r="T2" s="342"/>
      <c r="U2" s="342"/>
      <c r="V2" s="342"/>
      <c r="W2" s="342"/>
      <c r="X2" s="342"/>
      <c r="Y2" s="376"/>
      <c r="Z2" s="375"/>
      <c r="AA2" s="375" t="s">
        <v>64</v>
      </c>
      <c r="AB2" s="384">
        <v>300</v>
      </c>
      <c r="AC2" s="384">
        <v>250</v>
      </c>
      <c r="AD2" s="384">
        <v>200</v>
      </c>
      <c r="AE2" s="384">
        <v>150</v>
      </c>
      <c r="AF2" s="384">
        <v>120</v>
      </c>
      <c r="AG2" s="384">
        <v>90</v>
      </c>
      <c r="AH2" s="384">
        <v>40</v>
      </c>
      <c r="AI2" s="371"/>
      <c r="AJ2" s="371"/>
      <c r="AK2" s="37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">
      <c r="A3" s="51" t="s">
        <v>25</v>
      </c>
      <c r="B3" s="51"/>
      <c r="C3" s="51"/>
      <c r="D3" s="51"/>
      <c r="E3" s="434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T3" s="343"/>
      <c r="U3" s="343"/>
      <c r="V3" s="343"/>
      <c r="W3" s="343"/>
      <c r="X3" s="343"/>
      <c r="Y3" s="375" t="str">
        <f>IF(K4="OB","A",IF(K4="IX","W",IF(K4="","",K4)))</f>
        <v>VIGASZ</v>
      </c>
      <c r="Z3" s="375"/>
      <c r="AA3" s="375" t="s">
        <v>65</v>
      </c>
      <c r="AB3" s="384">
        <v>280</v>
      </c>
      <c r="AC3" s="384">
        <v>230</v>
      </c>
      <c r="AD3" s="384">
        <v>180</v>
      </c>
      <c r="AE3" s="384">
        <v>140</v>
      </c>
      <c r="AF3" s="384">
        <v>80</v>
      </c>
      <c r="AG3" s="384">
        <v>0</v>
      </c>
      <c r="AH3" s="384">
        <v>0</v>
      </c>
      <c r="AI3" s="371"/>
      <c r="AJ3" s="371"/>
      <c r="AK3" s="37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25">
      <c r="A4" s="441" t="str">
        <f>Altalanos!$A$10</f>
        <v>2025.06.19-29.</v>
      </c>
      <c r="B4" s="441"/>
      <c r="C4" s="441"/>
      <c r="D4" s="309"/>
      <c r="E4" s="310"/>
      <c r="F4" s="310"/>
      <c r="G4" s="310" t="str">
        <f>Altalanos!$C$10</f>
        <v>Budapest</v>
      </c>
      <c r="H4" s="311"/>
      <c r="I4" s="310"/>
      <c r="J4" s="312"/>
      <c r="K4" s="313" t="s">
        <v>132</v>
      </c>
      <c r="L4" s="312"/>
      <c r="M4" s="314"/>
      <c r="N4" s="312"/>
      <c r="O4" s="310"/>
      <c r="P4" s="312"/>
      <c r="Q4" s="310"/>
      <c r="R4" s="315" t="str">
        <f>Altalanos!$E$10</f>
        <v>Rákóczi Andrea</v>
      </c>
      <c r="T4" s="344"/>
      <c r="U4" s="344"/>
      <c r="V4" s="344"/>
      <c r="W4" s="344"/>
      <c r="X4" s="344"/>
      <c r="Y4" s="375"/>
      <c r="Z4" s="375"/>
      <c r="AA4" s="375" t="s">
        <v>66</v>
      </c>
      <c r="AB4" s="384">
        <v>250</v>
      </c>
      <c r="AC4" s="384">
        <v>200</v>
      </c>
      <c r="AD4" s="384">
        <v>150</v>
      </c>
      <c r="AE4" s="384">
        <v>120</v>
      </c>
      <c r="AF4" s="384">
        <v>90</v>
      </c>
      <c r="AG4" s="384">
        <v>60</v>
      </c>
      <c r="AH4" s="384">
        <v>25</v>
      </c>
      <c r="AI4" s="371"/>
      <c r="AJ4" s="371"/>
      <c r="AK4" s="37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58</v>
      </c>
      <c r="N5" s="132"/>
      <c r="O5" s="130" t="s">
        <v>57</v>
      </c>
      <c r="P5" s="132"/>
      <c r="Q5" s="130"/>
      <c r="R5" s="133"/>
      <c r="T5" s="343"/>
      <c r="U5" s="343"/>
      <c r="V5" s="343"/>
      <c r="W5" s="343"/>
      <c r="X5" s="343"/>
      <c r="Y5" s="375">
        <f>IF(OR(Altalanos!$A$8="F1",Altalanos!$A$8="F2",Altalanos!$A$8="N1",Altalanos!$A$8="N2"),1,2)</f>
        <v>2</v>
      </c>
      <c r="Z5" s="375"/>
      <c r="AA5" s="375" t="s">
        <v>67</v>
      </c>
      <c r="AB5" s="384">
        <v>200</v>
      </c>
      <c r="AC5" s="384">
        <v>150</v>
      </c>
      <c r="AD5" s="384">
        <v>120</v>
      </c>
      <c r="AE5" s="384">
        <v>90</v>
      </c>
      <c r="AF5" s="384">
        <v>60</v>
      </c>
      <c r="AG5" s="384">
        <v>40</v>
      </c>
      <c r="AH5" s="384">
        <v>15</v>
      </c>
      <c r="AI5" s="371"/>
      <c r="AJ5" s="371"/>
      <c r="AK5" s="371"/>
      <c r="AL5" s="343"/>
      <c r="AM5" s="343"/>
      <c r="AN5" s="343"/>
      <c r="AO5" s="343"/>
      <c r="AP5" s="343"/>
      <c r="AQ5" s="343"/>
      <c r="AR5" s="343"/>
      <c r="AS5" s="343"/>
    </row>
    <row r="6" spans="1:45" s="19" customFormat="1" ht="11.1" customHeight="1" thickBot="1" x14ac:dyDescent="0.25">
      <c r="A6" s="378"/>
      <c r="B6" s="379"/>
      <c r="C6" s="379"/>
      <c r="D6" s="379"/>
      <c r="E6" s="379"/>
      <c r="F6" s="378" t="str">
        <f>IF(Y3="","",CONCATENATE(VLOOKUP(Y3,AB1:AH1,4)," pont"))</f>
        <v>3 pont</v>
      </c>
      <c r="G6" s="380"/>
      <c r="H6" s="381"/>
      <c r="I6" s="380"/>
      <c r="J6" s="382"/>
      <c r="K6" s="379" t="str">
        <f>IF(Y3="","",CONCATENATE(VLOOKUP(Y3,AB1:AH1,3)," pont"))</f>
        <v>6 pont</v>
      </c>
      <c r="L6" s="382"/>
      <c r="M6" s="379" t="str">
        <f>IF(Y3="","",CONCATENATE(VLOOKUP(Y3,AB1:AH1,2)," pont"))</f>
        <v>10 pont</v>
      </c>
      <c r="N6" s="382"/>
      <c r="O6" s="379" t="str">
        <f>IF(Y3="","",CONCATENATE(VLOOKUP(Y3,AB1:AH1,1)," pont"))</f>
        <v>15 pont</v>
      </c>
      <c r="P6" s="382"/>
      <c r="Q6" s="379"/>
      <c r="R6" s="383"/>
      <c r="T6" s="343"/>
      <c r="U6" s="343"/>
      <c r="V6" s="343"/>
      <c r="W6" s="343"/>
      <c r="X6" s="343"/>
      <c r="Y6" s="375"/>
      <c r="Z6" s="375"/>
      <c r="AA6" s="375" t="s">
        <v>68</v>
      </c>
      <c r="AB6" s="384">
        <v>150</v>
      </c>
      <c r="AC6" s="384">
        <v>120</v>
      </c>
      <c r="AD6" s="384">
        <v>90</v>
      </c>
      <c r="AE6" s="384">
        <v>60</v>
      </c>
      <c r="AF6" s="384">
        <v>40</v>
      </c>
      <c r="AG6" s="384">
        <v>25</v>
      </c>
      <c r="AH6" s="384">
        <v>10</v>
      </c>
      <c r="AI6" s="371"/>
      <c r="AJ6" s="371"/>
      <c r="AK6" s="371"/>
      <c r="AL6" s="343"/>
      <c r="AM6" s="343"/>
      <c r="AN6" s="343"/>
      <c r="AO6" s="343"/>
      <c r="AP6" s="343"/>
      <c r="AQ6" s="343"/>
      <c r="AR6" s="343"/>
      <c r="AS6" s="343"/>
    </row>
    <row r="7" spans="1:45" s="34" customFormat="1" ht="12.95" customHeight="1" x14ac:dyDescent="0.2">
      <c r="A7" s="135">
        <v>1</v>
      </c>
      <c r="B7" s="316" t="str">
        <f>IF($E7="","",VLOOKUP($E7,'F14 csapat ELO'!$A$7:$O$22,14))</f>
        <v/>
      </c>
      <c r="C7" s="317" t="str">
        <f>IF($E7="","",VLOOKUP($E7,'F14 csapat ELO'!$A$7:$O$22,15))</f>
        <v/>
      </c>
      <c r="D7" s="317" t="str">
        <f>IF($E7="","",VLOOKUP($E7,'F14 csapat ELO'!$A$7:$O$22,5))</f>
        <v/>
      </c>
      <c r="E7" s="318"/>
      <c r="F7" s="319" t="str">
        <f>UPPER(IF($E7="","",VLOOKUP($E7,'F14 csapat ELO'!$A$7:$O$22,2)))</f>
        <v/>
      </c>
      <c r="G7" s="319" t="str">
        <f>IF($E7="","",VLOOKUP($E7,'F14 csapat ELO'!$A$7:$O$22,3))</f>
        <v/>
      </c>
      <c r="H7" s="319"/>
      <c r="I7" s="319" t="str">
        <f>IF($E7="","",VLOOKUP($E7,'F14 csapat ELO'!$A$7:$O$22,4))</f>
        <v/>
      </c>
      <c r="J7" s="320"/>
      <c r="K7" s="321"/>
      <c r="L7" s="321"/>
      <c r="M7" s="321"/>
      <c r="N7" s="321"/>
      <c r="O7" s="141"/>
      <c r="P7" s="142"/>
      <c r="Q7" s="143"/>
      <c r="R7" s="144"/>
      <c r="S7" s="145"/>
      <c r="T7" s="145"/>
      <c r="U7" s="345" t="str">
        <f>Birók!P21</f>
        <v>Bíró</v>
      </c>
      <c r="V7" s="145"/>
      <c r="W7" s="145"/>
      <c r="X7" s="145"/>
      <c r="Y7" s="375"/>
      <c r="Z7" s="375"/>
      <c r="AA7" s="375" t="s">
        <v>69</v>
      </c>
      <c r="AB7" s="384">
        <v>120</v>
      </c>
      <c r="AC7" s="384">
        <v>90</v>
      </c>
      <c r="AD7" s="384">
        <v>60</v>
      </c>
      <c r="AE7" s="384">
        <v>40</v>
      </c>
      <c r="AF7" s="384">
        <v>25</v>
      </c>
      <c r="AG7" s="384">
        <v>10</v>
      </c>
      <c r="AH7" s="384">
        <v>5</v>
      </c>
      <c r="AI7" s="371"/>
      <c r="AJ7" s="371"/>
      <c r="AK7" s="371"/>
      <c r="AL7" s="145"/>
      <c r="AM7" s="145"/>
      <c r="AN7" s="145"/>
      <c r="AO7" s="145"/>
      <c r="AP7" s="145"/>
      <c r="AQ7" s="145"/>
      <c r="AR7" s="145"/>
      <c r="AS7" s="145"/>
    </row>
    <row r="8" spans="1:45" s="34" customFormat="1" ht="12.95" customHeight="1" x14ac:dyDescent="0.2">
      <c r="A8" s="147"/>
      <c r="B8" s="322"/>
      <c r="C8" s="323"/>
      <c r="D8" s="323"/>
      <c r="E8" s="220"/>
      <c r="F8" s="324"/>
      <c r="G8" s="324"/>
      <c r="H8" s="325"/>
      <c r="I8" s="424" t="s">
        <v>0</v>
      </c>
      <c r="J8" s="152" t="s">
        <v>65</v>
      </c>
      <c r="K8" s="326" t="str">
        <f>UPPER(IF(OR(J8="a",J8="as"),F7,IF(OR(J8="b",J8="bs"),F9,)))</f>
        <v>PASARÉT TK 3</v>
      </c>
      <c r="L8" s="326"/>
      <c r="M8" s="321"/>
      <c r="N8" s="321"/>
      <c r="O8" s="141"/>
      <c r="P8" s="142"/>
      <c r="Q8" s="143"/>
      <c r="R8" s="144"/>
      <c r="S8" s="145"/>
      <c r="T8" s="145"/>
      <c r="U8" s="346" t="str">
        <f>Birók!P22</f>
        <v xml:space="preserve"> </v>
      </c>
      <c r="V8" s="145"/>
      <c r="W8" s="145"/>
      <c r="X8" s="145"/>
      <c r="Y8" s="375"/>
      <c r="Z8" s="375"/>
      <c r="AA8" s="375" t="s">
        <v>70</v>
      </c>
      <c r="AB8" s="384">
        <v>90</v>
      </c>
      <c r="AC8" s="384">
        <v>60</v>
      </c>
      <c r="AD8" s="384">
        <v>40</v>
      </c>
      <c r="AE8" s="384">
        <v>25</v>
      </c>
      <c r="AF8" s="384">
        <v>10</v>
      </c>
      <c r="AG8" s="384">
        <v>5</v>
      </c>
      <c r="AH8" s="384">
        <v>2</v>
      </c>
      <c r="AI8" s="371"/>
      <c r="AJ8" s="371"/>
      <c r="AK8" s="371"/>
      <c r="AL8" s="145"/>
      <c r="AM8" s="145"/>
      <c r="AN8" s="145"/>
      <c r="AO8" s="145"/>
      <c r="AP8" s="145"/>
      <c r="AQ8" s="145"/>
      <c r="AR8" s="145"/>
      <c r="AS8" s="145"/>
    </row>
    <row r="9" spans="1:45" s="34" customFormat="1" ht="12.95" customHeight="1" x14ac:dyDescent="0.2">
      <c r="A9" s="147">
        <v>2</v>
      </c>
      <c r="B9" s="316" t="str">
        <f>IF($E9="","",VLOOKUP($E9,'F14 csapat ELO'!$A$7:$O$22,14))</f>
        <v/>
      </c>
      <c r="C9" s="317" t="str">
        <f>IF($E9="","",VLOOKUP($E9,'F14 csapat ELO'!$A$7:$O$22,15))</f>
        <v/>
      </c>
      <c r="D9" s="317" t="str">
        <f>IF($E9="","",VLOOKUP($E9,'F14 csapat ELO'!$A$7:$O$22,5))</f>
        <v/>
      </c>
      <c r="E9" s="414"/>
      <c r="F9" s="437" t="s">
        <v>135</v>
      </c>
      <c r="G9" s="368" t="str">
        <f>IF($E9="","",VLOOKUP($E9,'F14 csapat ELO'!$A$7:$O$22,3))</f>
        <v/>
      </c>
      <c r="H9" s="368"/>
      <c r="I9" s="368" t="str">
        <f>IF($E9="","",VLOOKUP($E9,'F14 csapat ELO'!$A$7:$O$22,4))</f>
        <v/>
      </c>
      <c r="J9" s="327"/>
      <c r="K9" s="321"/>
      <c r="L9" s="328"/>
      <c r="M9" s="321"/>
      <c r="N9" s="321"/>
      <c r="O9" s="141"/>
      <c r="P9" s="142"/>
      <c r="Q9" s="143"/>
      <c r="R9" s="144"/>
      <c r="S9" s="145"/>
      <c r="T9" s="145"/>
      <c r="U9" s="346" t="str">
        <f>Birók!P23</f>
        <v xml:space="preserve"> </v>
      </c>
      <c r="V9" s="145"/>
      <c r="W9" s="145"/>
      <c r="X9" s="145"/>
      <c r="Y9" s="375"/>
      <c r="Z9" s="375"/>
      <c r="AA9" s="375" t="s">
        <v>71</v>
      </c>
      <c r="AB9" s="384">
        <v>60</v>
      </c>
      <c r="AC9" s="384">
        <v>40</v>
      </c>
      <c r="AD9" s="384">
        <v>25</v>
      </c>
      <c r="AE9" s="384">
        <v>10</v>
      </c>
      <c r="AF9" s="384">
        <v>5</v>
      </c>
      <c r="AG9" s="384">
        <v>2</v>
      </c>
      <c r="AH9" s="384">
        <v>1</v>
      </c>
      <c r="AI9" s="371"/>
      <c r="AJ9" s="371"/>
      <c r="AK9" s="371"/>
      <c r="AL9" s="145"/>
      <c r="AM9" s="145"/>
      <c r="AN9" s="145"/>
      <c r="AO9" s="145"/>
      <c r="AP9" s="145"/>
      <c r="AQ9" s="145"/>
      <c r="AR9" s="145"/>
      <c r="AS9" s="145"/>
    </row>
    <row r="10" spans="1:45" s="34" customFormat="1" ht="12.95" customHeight="1" x14ac:dyDescent="0.2">
      <c r="A10" s="147"/>
      <c r="B10" s="322"/>
      <c r="C10" s="323"/>
      <c r="D10" s="323"/>
      <c r="E10" s="415"/>
      <c r="F10" s="416"/>
      <c r="G10" s="416"/>
      <c r="H10" s="417"/>
      <c r="I10" s="416"/>
      <c r="J10" s="329"/>
      <c r="K10" s="424" t="s">
        <v>0</v>
      </c>
      <c r="L10" s="160" t="s">
        <v>129</v>
      </c>
      <c r="M10" s="326" t="str">
        <f>UPPER(IF(OR(L10="a",L10="as"),K8,IF(OR(L10="b",L10="bs"),K12,)))</f>
        <v>PASARÉT TK 3</v>
      </c>
      <c r="N10" s="330"/>
      <c r="O10" s="331"/>
      <c r="P10" s="331"/>
      <c r="Q10" s="143"/>
      <c r="R10" s="144"/>
      <c r="S10" s="145"/>
      <c r="T10" s="145"/>
      <c r="U10" s="346" t="str">
        <f>Birók!P24</f>
        <v xml:space="preserve"> </v>
      </c>
      <c r="V10" s="145"/>
      <c r="W10" s="145"/>
      <c r="X10" s="145"/>
      <c r="Y10" s="375"/>
      <c r="Z10" s="375"/>
      <c r="AA10" s="375" t="s">
        <v>72</v>
      </c>
      <c r="AB10" s="384">
        <v>40</v>
      </c>
      <c r="AC10" s="384">
        <v>25</v>
      </c>
      <c r="AD10" s="384">
        <v>15</v>
      </c>
      <c r="AE10" s="384">
        <v>7</v>
      </c>
      <c r="AF10" s="384">
        <v>4</v>
      </c>
      <c r="AG10" s="384">
        <v>1</v>
      </c>
      <c r="AH10" s="384">
        <v>0</v>
      </c>
      <c r="AI10" s="371"/>
      <c r="AJ10" s="371"/>
      <c r="AK10" s="371"/>
      <c r="AL10" s="145"/>
      <c r="AM10" s="145"/>
      <c r="AN10" s="145"/>
      <c r="AO10" s="145"/>
      <c r="AP10" s="145"/>
      <c r="AQ10" s="145"/>
      <c r="AR10" s="145"/>
      <c r="AS10" s="145"/>
    </row>
    <row r="11" spans="1:45" s="34" customFormat="1" ht="12.95" customHeight="1" x14ac:dyDescent="0.2">
      <c r="A11" s="147">
        <v>3</v>
      </c>
      <c r="B11" s="316" t="str">
        <f>IF($E11="","",VLOOKUP($E11,'F14 csapat ELO'!$A$7:$O$22,14))</f>
        <v/>
      </c>
      <c r="C11" s="317" t="str">
        <f>IF($E11="","",VLOOKUP($E11,'F14 csapat ELO'!$A$7:$O$22,15))</f>
        <v/>
      </c>
      <c r="D11" s="317" t="str">
        <f>IF($E11="","",VLOOKUP($E11,'F14 csapat ELO'!$A$7:$O$22,5))</f>
        <v/>
      </c>
      <c r="E11" s="414"/>
      <c r="F11" s="368" t="str">
        <f>UPPER(IF($E11="","",VLOOKUP($E11,'F14 csapat ELO'!$A$7:$O$22,2)))</f>
        <v/>
      </c>
      <c r="G11" s="368" t="str">
        <f>IF($E11="","",VLOOKUP($E11,'F14 csapat ELO'!$A$7:$O$22,3))</f>
        <v/>
      </c>
      <c r="H11" s="368"/>
      <c r="I11" s="368" t="str">
        <f>IF($E11="","",VLOOKUP($E11,'F14 csapat ELO'!$A$7:$O$22,4))</f>
        <v/>
      </c>
      <c r="J11" s="320"/>
      <c r="K11" s="321"/>
      <c r="L11" s="332"/>
      <c r="M11" s="331" t="s">
        <v>140</v>
      </c>
      <c r="N11" s="333"/>
      <c r="O11" s="331"/>
      <c r="P11" s="331"/>
      <c r="Q11" s="143"/>
      <c r="R11" s="144"/>
      <c r="S11" s="145"/>
      <c r="T11" s="145"/>
      <c r="U11" s="346" t="str">
        <f>Birók!P25</f>
        <v xml:space="preserve"> </v>
      </c>
      <c r="V11" s="145"/>
      <c r="W11" s="145"/>
      <c r="X11" s="145"/>
      <c r="Y11" s="375"/>
      <c r="Z11" s="375"/>
      <c r="AA11" s="375" t="s">
        <v>73</v>
      </c>
      <c r="AB11" s="384">
        <v>25</v>
      </c>
      <c r="AC11" s="384">
        <v>15</v>
      </c>
      <c r="AD11" s="384">
        <v>10</v>
      </c>
      <c r="AE11" s="384">
        <v>6</v>
      </c>
      <c r="AF11" s="384">
        <v>3</v>
      </c>
      <c r="AG11" s="384">
        <v>1</v>
      </c>
      <c r="AH11" s="384">
        <v>0</v>
      </c>
      <c r="AI11" s="371"/>
      <c r="AJ11" s="371"/>
      <c r="AK11" s="371"/>
      <c r="AL11" s="145"/>
      <c r="AM11" s="145"/>
      <c r="AN11" s="145"/>
      <c r="AO11" s="145"/>
      <c r="AP11" s="145"/>
      <c r="AQ11" s="145"/>
      <c r="AR11" s="145"/>
      <c r="AS11" s="145"/>
    </row>
    <row r="12" spans="1:45" s="34" customFormat="1" ht="12.95" customHeight="1" x14ac:dyDescent="0.2">
      <c r="A12" s="147"/>
      <c r="B12" s="322"/>
      <c r="C12" s="323"/>
      <c r="D12" s="323"/>
      <c r="E12" s="415"/>
      <c r="F12" s="416"/>
      <c r="G12" s="416"/>
      <c r="H12" s="417"/>
      <c r="I12" s="424" t="s">
        <v>0</v>
      </c>
      <c r="J12" s="152" t="s">
        <v>65</v>
      </c>
      <c r="K12" s="326" t="str">
        <f>UPPER(IF(OR(J12="a",J12="as"),F11,IF(OR(J12="b",J12="bs"),F13,)))</f>
        <v>KÉK LEPKÉK</v>
      </c>
      <c r="L12" s="334"/>
      <c r="M12" s="321"/>
      <c r="N12" s="333"/>
      <c r="O12" s="331"/>
      <c r="P12" s="331"/>
      <c r="Q12" s="143"/>
      <c r="R12" s="144"/>
      <c r="S12" s="145"/>
      <c r="T12" s="145"/>
      <c r="U12" s="346" t="str">
        <f>Birók!P26</f>
        <v xml:space="preserve"> </v>
      </c>
      <c r="V12" s="145"/>
      <c r="W12" s="145"/>
      <c r="X12" s="145"/>
      <c r="Y12" s="375"/>
      <c r="Z12" s="375"/>
      <c r="AA12" s="375" t="s">
        <v>78</v>
      </c>
      <c r="AB12" s="384">
        <v>15</v>
      </c>
      <c r="AC12" s="384">
        <v>10</v>
      </c>
      <c r="AD12" s="384">
        <v>6</v>
      </c>
      <c r="AE12" s="384">
        <v>3</v>
      </c>
      <c r="AF12" s="384">
        <v>1</v>
      </c>
      <c r="AG12" s="384">
        <v>0</v>
      </c>
      <c r="AH12" s="384">
        <v>0</v>
      </c>
      <c r="AI12" s="371"/>
      <c r="AJ12" s="371"/>
      <c r="AK12" s="371"/>
      <c r="AL12" s="145"/>
      <c r="AM12" s="145"/>
      <c r="AN12" s="145"/>
      <c r="AO12" s="145"/>
      <c r="AP12" s="145"/>
      <c r="AQ12" s="145"/>
      <c r="AR12" s="145"/>
      <c r="AS12" s="145"/>
    </row>
    <row r="13" spans="1:45" s="34" customFormat="1" ht="12.95" customHeight="1" x14ac:dyDescent="0.2">
      <c r="A13" s="147">
        <v>4</v>
      </c>
      <c r="B13" s="316" t="str">
        <f>IF($E13="","",VLOOKUP($E13,'F14 csapat ELO'!$A$7:$O$22,14))</f>
        <v/>
      </c>
      <c r="C13" s="317" t="str">
        <f>IF($E13="","",VLOOKUP($E13,'F14 csapat ELO'!$A$7:$O$22,15))</f>
        <v/>
      </c>
      <c r="D13" s="317" t="str">
        <f>IF($E13="","",VLOOKUP($E13,'F14 csapat ELO'!$A$7:$O$22,5))</f>
        <v/>
      </c>
      <c r="E13" s="414"/>
      <c r="F13" s="437" t="s">
        <v>136</v>
      </c>
      <c r="G13" s="368" t="str">
        <f>IF($E13="","",VLOOKUP($E13,'F14 csapat ELO'!$A$7:$O$22,3))</f>
        <v/>
      </c>
      <c r="H13" s="368"/>
      <c r="I13" s="368" t="str">
        <f>IF($E13="","",VLOOKUP($E13,'F14 csapat ELO'!$A$7:$O$22,4))</f>
        <v/>
      </c>
      <c r="J13" s="335"/>
      <c r="K13" s="321"/>
      <c r="L13" s="321"/>
      <c r="M13" s="321"/>
      <c r="N13" s="333"/>
      <c r="O13" s="331"/>
      <c r="P13" s="331"/>
      <c r="Q13" s="143"/>
      <c r="R13" s="144"/>
      <c r="S13" s="145"/>
      <c r="T13" s="145"/>
      <c r="U13" s="346" t="str">
        <f>Birók!P27</f>
        <v xml:space="preserve"> </v>
      </c>
      <c r="V13" s="145"/>
      <c r="W13" s="145"/>
      <c r="X13" s="145"/>
      <c r="Y13" s="375"/>
      <c r="Z13" s="375"/>
      <c r="AA13" s="375" t="s">
        <v>74</v>
      </c>
      <c r="AB13" s="384">
        <v>10</v>
      </c>
      <c r="AC13" s="384">
        <v>6</v>
      </c>
      <c r="AD13" s="384">
        <v>3</v>
      </c>
      <c r="AE13" s="384">
        <v>1</v>
      </c>
      <c r="AF13" s="384">
        <v>0</v>
      </c>
      <c r="AG13" s="384">
        <v>0</v>
      </c>
      <c r="AH13" s="384">
        <v>0</v>
      </c>
      <c r="AI13" s="371"/>
      <c r="AJ13" s="371"/>
      <c r="AK13" s="371"/>
      <c r="AL13" s="145"/>
      <c r="AM13" s="145"/>
      <c r="AN13" s="145"/>
      <c r="AO13" s="145"/>
      <c r="AP13" s="145"/>
      <c r="AQ13" s="145"/>
      <c r="AR13" s="145"/>
      <c r="AS13" s="145"/>
    </row>
    <row r="14" spans="1:45" s="34" customFormat="1" ht="12.95" customHeight="1" x14ac:dyDescent="0.2">
      <c r="A14" s="147"/>
      <c r="B14" s="322"/>
      <c r="C14" s="323"/>
      <c r="D14" s="323"/>
      <c r="E14" s="415"/>
      <c r="F14" s="416"/>
      <c r="G14" s="416"/>
      <c r="H14" s="417"/>
      <c r="I14" s="416"/>
      <c r="J14" s="329"/>
      <c r="K14" s="321"/>
      <c r="L14" s="321"/>
      <c r="M14" s="424" t="s">
        <v>0</v>
      </c>
      <c r="N14" s="160" t="s">
        <v>129</v>
      </c>
      <c r="O14" s="326" t="str">
        <f>UPPER(IF(OR(N14="a",N14="as"),M10,IF(OR(N14="b",N14="bs"),M18,)))</f>
        <v>PASARÉT TK 3</v>
      </c>
      <c r="P14" s="330"/>
      <c r="Q14" s="143"/>
      <c r="R14" s="144"/>
      <c r="S14" s="145"/>
      <c r="T14" s="145"/>
      <c r="U14" s="346" t="str">
        <f>Birók!P28</f>
        <v xml:space="preserve"> </v>
      </c>
      <c r="V14" s="145"/>
      <c r="W14" s="145"/>
      <c r="X14" s="145"/>
      <c r="Y14" s="375"/>
      <c r="Z14" s="375"/>
      <c r="AA14" s="375" t="s">
        <v>75</v>
      </c>
      <c r="AB14" s="384">
        <v>3</v>
      </c>
      <c r="AC14" s="384">
        <v>2</v>
      </c>
      <c r="AD14" s="384">
        <v>1</v>
      </c>
      <c r="AE14" s="384">
        <v>0</v>
      </c>
      <c r="AF14" s="384">
        <v>0</v>
      </c>
      <c r="AG14" s="384">
        <v>0</v>
      </c>
      <c r="AH14" s="384">
        <v>0</v>
      </c>
      <c r="AI14" s="371"/>
      <c r="AJ14" s="371"/>
      <c r="AK14" s="371"/>
      <c r="AL14" s="145"/>
      <c r="AM14" s="145"/>
      <c r="AN14" s="145"/>
      <c r="AO14" s="145"/>
      <c r="AP14" s="145"/>
      <c r="AQ14" s="145"/>
      <c r="AR14" s="145"/>
      <c r="AS14" s="145"/>
    </row>
    <row r="15" spans="1:45" s="34" customFormat="1" ht="12.95" customHeight="1" x14ac:dyDescent="0.2">
      <c r="A15" s="367">
        <v>5</v>
      </c>
      <c r="B15" s="316" t="str">
        <f>IF($E15="","",VLOOKUP($E15,'F14 csapat ELO'!$A$7:$O$22,14))</f>
        <v/>
      </c>
      <c r="C15" s="317" t="str">
        <f>IF($E15="","",VLOOKUP($E15,'F14 csapat ELO'!$A$7:$O$22,15))</f>
        <v/>
      </c>
      <c r="D15" s="317" t="str">
        <f>IF($E15="","",VLOOKUP($E15,'F14 csapat ELO'!$A$7:$O$22,5))</f>
        <v/>
      </c>
      <c r="E15" s="414"/>
      <c r="F15" s="437" t="s">
        <v>137</v>
      </c>
      <c r="G15" s="368" t="str">
        <f>IF($E15="","",VLOOKUP($E15,'F14 csapat ELO'!$A$7:$O$22,3))</f>
        <v/>
      </c>
      <c r="H15" s="368"/>
      <c r="I15" s="368" t="str">
        <f>IF($E15="","",VLOOKUP($E15,'F14 csapat ELO'!$A$7:$O$22,4))</f>
        <v/>
      </c>
      <c r="J15" s="337"/>
      <c r="K15" s="321"/>
      <c r="L15" s="321"/>
      <c r="M15" s="321"/>
      <c r="N15" s="333"/>
      <c r="O15" s="331" t="s">
        <v>133</v>
      </c>
      <c r="P15" s="366"/>
      <c r="Q15" s="247"/>
      <c r="R15" s="144"/>
      <c r="S15" s="145"/>
      <c r="T15" s="145"/>
      <c r="U15" s="346" t="str">
        <f>Birók!P29</f>
        <v xml:space="preserve"> </v>
      </c>
      <c r="V15" s="145"/>
      <c r="W15" s="145"/>
      <c r="X15" s="14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1"/>
      <c r="AJ15" s="371"/>
      <c r="AK15" s="371"/>
      <c r="AL15" s="145"/>
      <c r="AM15" s="145"/>
      <c r="AN15" s="145"/>
      <c r="AO15" s="145"/>
      <c r="AP15" s="145"/>
      <c r="AQ15" s="145"/>
      <c r="AR15" s="145"/>
      <c r="AS15" s="145"/>
    </row>
    <row r="16" spans="1:45" s="34" customFormat="1" ht="12.95" customHeight="1" thickBot="1" x14ac:dyDescent="0.25">
      <c r="A16" s="147"/>
      <c r="B16" s="322"/>
      <c r="C16" s="323"/>
      <c r="D16" s="323"/>
      <c r="E16" s="415"/>
      <c r="F16" s="416"/>
      <c r="G16" s="416"/>
      <c r="H16" s="417"/>
      <c r="I16" s="424" t="s">
        <v>0</v>
      </c>
      <c r="J16" s="152" t="s">
        <v>64</v>
      </c>
      <c r="K16" s="326" t="str">
        <f>UPPER(IF(OR(J16="a",J16="as"),F15,IF(OR(J16="b",J16="bs"),F17,)))</f>
        <v>PASARÉT TK 2</v>
      </c>
      <c r="L16" s="326"/>
      <c r="M16" s="321"/>
      <c r="N16" s="333"/>
      <c r="O16" s="424"/>
      <c r="P16" s="366"/>
      <c r="Q16" s="247"/>
      <c r="R16" s="144"/>
      <c r="S16" s="145"/>
      <c r="T16" s="145"/>
      <c r="U16" s="347" t="str">
        <f>Birók!P30</f>
        <v>Egyik sem</v>
      </c>
      <c r="V16" s="145"/>
      <c r="W16" s="145"/>
      <c r="X16" s="145"/>
      <c r="Y16" s="375"/>
      <c r="Z16" s="375"/>
      <c r="AA16" s="375" t="s">
        <v>64</v>
      </c>
      <c r="AB16" s="384">
        <v>150</v>
      </c>
      <c r="AC16" s="384">
        <v>120</v>
      </c>
      <c r="AD16" s="384">
        <v>90</v>
      </c>
      <c r="AE16" s="384">
        <v>60</v>
      </c>
      <c r="AF16" s="384">
        <v>40</v>
      </c>
      <c r="AG16" s="384">
        <v>25</v>
      </c>
      <c r="AH16" s="384">
        <v>15</v>
      </c>
      <c r="AI16" s="371"/>
      <c r="AJ16" s="371"/>
      <c r="AK16" s="371"/>
      <c r="AL16" s="145"/>
      <c r="AM16" s="145"/>
      <c r="AN16" s="145"/>
      <c r="AO16" s="145"/>
      <c r="AP16" s="145"/>
      <c r="AQ16" s="145"/>
      <c r="AR16" s="145"/>
      <c r="AS16" s="145"/>
    </row>
    <row r="17" spans="1:45" s="34" customFormat="1" ht="12.95" customHeight="1" x14ac:dyDescent="0.2">
      <c r="A17" s="147">
        <v>6</v>
      </c>
      <c r="B17" s="316" t="str">
        <f>IF($E17="","",VLOOKUP($E17,'F14 csapat ELO'!$A$7:$O$22,14))</f>
        <v/>
      </c>
      <c r="C17" s="317" t="str">
        <f>IF($E17="","",VLOOKUP($E17,'F14 csapat ELO'!$A$7:$O$22,15))</f>
        <v/>
      </c>
      <c r="D17" s="317" t="str">
        <f>IF($E17="","",VLOOKUP($E17,'F14 csapat ELO'!$A$7:$O$22,5))</f>
        <v/>
      </c>
      <c r="E17" s="414"/>
      <c r="F17" s="368" t="str">
        <f>UPPER(IF($E17="","",VLOOKUP($E17,'F14 csapat ELO'!$A$7:$O$22,2)))</f>
        <v/>
      </c>
      <c r="G17" s="368" t="str">
        <f>IF($E17="","",VLOOKUP($E17,'F14 csapat ELO'!$A$7:$O$22,3))</f>
        <v/>
      </c>
      <c r="H17" s="368"/>
      <c r="I17" s="368" t="str">
        <f>IF($E17="","",VLOOKUP($E17,'F14 csapat ELO'!$A$7:$O$22,4))</f>
        <v/>
      </c>
      <c r="J17" s="327"/>
      <c r="K17" s="321"/>
      <c r="L17" s="328"/>
      <c r="M17" s="321"/>
      <c r="N17" s="333"/>
      <c r="O17" s="331"/>
      <c r="P17" s="366"/>
      <c r="Q17" s="247"/>
      <c r="R17" s="144"/>
      <c r="S17" s="145"/>
      <c r="T17" s="145"/>
      <c r="U17" s="145"/>
      <c r="V17" s="145"/>
      <c r="W17" s="145"/>
      <c r="X17" s="145"/>
      <c r="Y17" s="375"/>
      <c r="Z17" s="375"/>
      <c r="AA17" s="375" t="s">
        <v>66</v>
      </c>
      <c r="AB17" s="384">
        <v>120</v>
      </c>
      <c r="AC17" s="384">
        <v>90</v>
      </c>
      <c r="AD17" s="384">
        <v>60</v>
      </c>
      <c r="AE17" s="384">
        <v>40</v>
      </c>
      <c r="AF17" s="384">
        <v>25</v>
      </c>
      <c r="AG17" s="384">
        <v>15</v>
      </c>
      <c r="AH17" s="384">
        <v>8</v>
      </c>
      <c r="AI17" s="371"/>
      <c r="AJ17" s="371"/>
      <c r="AK17" s="371"/>
      <c r="AL17" s="145"/>
      <c r="AM17" s="145"/>
      <c r="AN17" s="145"/>
      <c r="AO17" s="145"/>
      <c r="AP17" s="145"/>
      <c r="AQ17" s="145"/>
      <c r="AR17" s="145"/>
      <c r="AS17" s="145"/>
    </row>
    <row r="18" spans="1:45" s="34" customFormat="1" ht="12.95" customHeight="1" x14ac:dyDescent="0.2">
      <c r="A18" s="147"/>
      <c r="B18" s="322"/>
      <c r="C18" s="323"/>
      <c r="D18" s="323"/>
      <c r="E18" s="415"/>
      <c r="F18" s="416"/>
      <c r="G18" s="416"/>
      <c r="H18" s="417"/>
      <c r="I18" s="416"/>
      <c r="J18" s="329"/>
      <c r="K18" s="424" t="s">
        <v>0</v>
      </c>
      <c r="L18" s="160" t="s">
        <v>64</v>
      </c>
      <c r="M18" s="326" t="str">
        <f>UPPER(IF(OR(L18="a",L18="as"),K16,IF(OR(L18="b",L18="bs"),K20,)))</f>
        <v>PASARÉT TK 2</v>
      </c>
      <c r="N18" s="338"/>
      <c r="O18" s="331"/>
      <c r="P18" s="366"/>
      <c r="Q18" s="247"/>
      <c r="R18" s="144"/>
      <c r="S18" s="145"/>
      <c r="T18" s="145"/>
      <c r="U18" s="145"/>
      <c r="V18" s="145"/>
      <c r="W18" s="145"/>
      <c r="X18" s="145"/>
      <c r="Y18" s="375"/>
      <c r="Z18" s="375"/>
      <c r="AA18" s="375" t="s">
        <v>67</v>
      </c>
      <c r="AB18" s="384">
        <v>90</v>
      </c>
      <c r="AC18" s="384">
        <v>60</v>
      </c>
      <c r="AD18" s="384">
        <v>40</v>
      </c>
      <c r="AE18" s="384">
        <v>25</v>
      </c>
      <c r="AF18" s="384">
        <v>15</v>
      </c>
      <c r="AG18" s="384">
        <v>8</v>
      </c>
      <c r="AH18" s="384">
        <v>4</v>
      </c>
      <c r="AI18" s="371"/>
      <c r="AJ18" s="371"/>
      <c r="AK18" s="371"/>
      <c r="AL18" s="145"/>
      <c r="AM18" s="145"/>
      <c r="AN18" s="145"/>
      <c r="AO18" s="145"/>
      <c r="AP18" s="145"/>
      <c r="AQ18" s="145"/>
      <c r="AR18" s="145"/>
      <c r="AS18" s="145"/>
    </row>
    <row r="19" spans="1:45" s="34" customFormat="1" ht="12.95" customHeight="1" x14ac:dyDescent="0.2">
      <c r="A19" s="147">
        <v>7</v>
      </c>
      <c r="B19" s="316" t="str">
        <f>IF($E19="","",VLOOKUP($E19,'F14 csapat ELO'!$A$7:$O$22,14))</f>
        <v/>
      </c>
      <c r="C19" s="317" t="str">
        <f>IF($E19="","",VLOOKUP($E19,'F14 csapat ELO'!$A$7:$O$22,15))</f>
        <v/>
      </c>
      <c r="D19" s="317" t="str">
        <f>IF($E19="","",VLOOKUP($E19,'F14 csapat ELO'!$A$7:$O$22,5))</f>
        <v/>
      </c>
      <c r="E19" s="414"/>
      <c r="F19" s="437" t="s">
        <v>138</v>
      </c>
      <c r="G19" s="368" t="str">
        <f>IF($E19="","",VLOOKUP($E19,'F14 csapat ELO'!$A$7:$O$22,3))</f>
        <v/>
      </c>
      <c r="H19" s="368"/>
      <c r="I19" s="368" t="str">
        <f>IF($E19="","",VLOOKUP($E19,'F14 csapat ELO'!$A$7:$O$22,4))</f>
        <v/>
      </c>
      <c r="J19" s="320"/>
      <c r="K19" s="321"/>
      <c r="L19" s="332"/>
      <c r="M19" s="321" t="s">
        <v>139</v>
      </c>
      <c r="N19" s="331"/>
      <c r="O19" s="331"/>
      <c r="P19" s="366"/>
      <c r="Q19" s="247"/>
      <c r="R19" s="144"/>
      <c r="S19" s="145"/>
      <c r="T19" s="145"/>
      <c r="U19" s="145"/>
      <c r="V19" s="145"/>
      <c r="W19" s="145"/>
      <c r="X19" s="145"/>
      <c r="Y19" s="375"/>
      <c r="Z19" s="375"/>
      <c r="AA19" s="375" t="s">
        <v>68</v>
      </c>
      <c r="AB19" s="384">
        <v>60</v>
      </c>
      <c r="AC19" s="384">
        <v>40</v>
      </c>
      <c r="AD19" s="384">
        <v>25</v>
      </c>
      <c r="AE19" s="384">
        <v>15</v>
      </c>
      <c r="AF19" s="384">
        <v>8</v>
      </c>
      <c r="AG19" s="384">
        <v>4</v>
      </c>
      <c r="AH19" s="384">
        <v>2</v>
      </c>
      <c r="AI19" s="371"/>
      <c r="AJ19" s="371"/>
      <c r="AK19" s="371"/>
      <c r="AL19" s="145"/>
      <c r="AM19" s="145"/>
      <c r="AN19" s="145"/>
      <c r="AO19" s="145"/>
      <c r="AP19" s="145"/>
      <c r="AQ19" s="145"/>
      <c r="AR19" s="145"/>
      <c r="AS19" s="145"/>
    </row>
    <row r="20" spans="1:45" s="34" customFormat="1" ht="12.95" customHeight="1" x14ac:dyDescent="0.2">
      <c r="A20" s="147"/>
      <c r="B20" s="322"/>
      <c r="C20" s="323"/>
      <c r="D20" s="323"/>
      <c r="E20" s="220"/>
      <c r="F20" s="324"/>
      <c r="G20" s="324"/>
      <c r="H20" s="325"/>
      <c r="I20" s="424" t="s">
        <v>0</v>
      </c>
      <c r="J20" s="152" t="s">
        <v>64</v>
      </c>
      <c r="K20" s="326" t="str">
        <f>UPPER(IF(OR(J20="a",J20="as"),F19,IF(OR(J20="b",J20="bs"),F21,)))</f>
        <v>FORTUNA SE</v>
      </c>
      <c r="L20" s="334"/>
      <c r="M20" s="321"/>
      <c r="N20" s="331"/>
      <c r="O20" s="331"/>
      <c r="P20" s="366"/>
      <c r="Q20" s="247"/>
      <c r="R20" s="144"/>
      <c r="S20" s="145"/>
      <c r="T20" s="145"/>
      <c r="U20" s="145"/>
      <c r="V20" s="145"/>
      <c r="W20" s="145"/>
      <c r="X20" s="145"/>
      <c r="Y20" s="375"/>
      <c r="Z20" s="375"/>
      <c r="AA20" s="375" t="s">
        <v>69</v>
      </c>
      <c r="AB20" s="384">
        <v>40</v>
      </c>
      <c r="AC20" s="384">
        <v>25</v>
      </c>
      <c r="AD20" s="384">
        <v>15</v>
      </c>
      <c r="AE20" s="384">
        <v>8</v>
      </c>
      <c r="AF20" s="384">
        <v>4</v>
      </c>
      <c r="AG20" s="384">
        <v>2</v>
      </c>
      <c r="AH20" s="384">
        <v>1</v>
      </c>
      <c r="AI20" s="371"/>
      <c r="AJ20" s="371"/>
      <c r="AK20" s="371"/>
      <c r="AL20" s="145"/>
      <c r="AM20" s="145"/>
      <c r="AN20" s="145"/>
      <c r="AO20" s="145"/>
      <c r="AP20" s="145"/>
      <c r="AQ20" s="145"/>
      <c r="AR20" s="145"/>
      <c r="AS20" s="145"/>
    </row>
    <row r="21" spans="1:45" s="34" customFormat="1" ht="12.95" customHeight="1" x14ac:dyDescent="0.2">
      <c r="A21" s="370">
        <v>8</v>
      </c>
      <c r="B21" s="316" t="str">
        <f>IF($E21="","",VLOOKUP($E21,'F14 csapat ELO'!$A$7:$O$22,14))</f>
        <v/>
      </c>
      <c r="C21" s="317" t="str">
        <f>IF($E21="","",VLOOKUP($E21,'F14 csapat ELO'!$A$7:$O$22,15))</f>
        <v/>
      </c>
      <c r="D21" s="317" t="str">
        <f>IF($E21="","",VLOOKUP($E21,'F14 csapat ELO'!$A$7:$O$22,5))</f>
        <v/>
      </c>
      <c r="E21" s="318"/>
      <c r="F21" s="369" t="str">
        <f>UPPER(IF($E21="","",VLOOKUP($E21,'F14 csapat ELO'!$A$7:$O$22,2)))</f>
        <v/>
      </c>
      <c r="G21" s="369" t="str">
        <f>IF($E21="","",VLOOKUP($E21,'F14 csapat ELO'!$A$7:$O$22,3))</f>
        <v/>
      </c>
      <c r="H21" s="369"/>
      <c r="I21" s="369" t="str">
        <f>IF($E21="","",VLOOKUP($E21,'F14 csapat ELO'!$A$7:$O$22,4))</f>
        <v/>
      </c>
      <c r="J21" s="335"/>
      <c r="K21" s="321"/>
      <c r="L21" s="321"/>
      <c r="M21" s="321"/>
      <c r="N21" s="331"/>
      <c r="O21" s="331"/>
      <c r="P21" s="366"/>
      <c r="Q21" s="247"/>
      <c r="R21" s="144"/>
      <c r="S21" s="145"/>
      <c r="T21" s="145"/>
      <c r="U21" s="145"/>
      <c r="V21" s="145"/>
      <c r="W21" s="145"/>
      <c r="X21" s="145"/>
      <c r="Y21" s="375"/>
      <c r="Z21" s="375"/>
      <c r="AA21" s="375" t="s">
        <v>70</v>
      </c>
      <c r="AB21" s="384">
        <v>25</v>
      </c>
      <c r="AC21" s="384">
        <v>15</v>
      </c>
      <c r="AD21" s="384">
        <v>10</v>
      </c>
      <c r="AE21" s="384">
        <v>6</v>
      </c>
      <c r="AF21" s="384">
        <v>3</v>
      </c>
      <c r="AG21" s="384">
        <v>1</v>
      </c>
      <c r="AH21" s="384">
        <v>0</v>
      </c>
      <c r="AI21" s="371"/>
      <c r="AJ21" s="371"/>
      <c r="AK21" s="371"/>
      <c r="AL21" s="145"/>
      <c r="AM21" s="145"/>
      <c r="AN21" s="145"/>
      <c r="AO21" s="145"/>
      <c r="AP21" s="145"/>
      <c r="AQ21" s="145"/>
      <c r="AR21" s="145"/>
      <c r="AS21" s="145"/>
    </row>
    <row r="22" spans="1:45" s="34" customFormat="1" ht="9.6" customHeight="1" x14ac:dyDescent="0.2">
      <c r="A22" s="350"/>
      <c r="B22" s="141"/>
      <c r="C22" s="141"/>
      <c r="D22" s="141"/>
      <c r="E22" s="220"/>
      <c r="F22" s="141"/>
      <c r="G22" s="141"/>
      <c r="H22" s="141"/>
      <c r="I22" s="141"/>
      <c r="J22" s="220"/>
      <c r="K22" s="141"/>
      <c r="L22" s="141"/>
      <c r="M22" s="141"/>
      <c r="N22" s="143"/>
      <c r="O22" s="143"/>
      <c r="P22" s="143"/>
      <c r="Q22" s="143"/>
      <c r="R22" s="144"/>
      <c r="S22" s="145"/>
      <c r="T22" s="145"/>
      <c r="U22" s="145"/>
      <c r="V22" s="145"/>
      <c r="W22" s="145"/>
      <c r="X22" s="145"/>
      <c r="Y22" s="375"/>
      <c r="Z22" s="375"/>
      <c r="AA22" s="375" t="s">
        <v>71</v>
      </c>
      <c r="AB22" s="384">
        <v>15</v>
      </c>
      <c r="AC22" s="384">
        <v>10</v>
      </c>
      <c r="AD22" s="384">
        <v>6</v>
      </c>
      <c r="AE22" s="384">
        <v>3</v>
      </c>
      <c r="AF22" s="384">
        <v>1</v>
      </c>
      <c r="AG22" s="384">
        <v>0</v>
      </c>
      <c r="AH22" s="384">
        <v>0</v>
      </c>
      <c r="AI22" s="371"/>
      <c r="AJ22" s="371"/>
      <c r="AK22" s="371"/>
      <c r="AL22" s="145"/>
      <c r="AM22" s="145"/>
      <c r="AN22" s="145"/>
      <c r="AO22" s="145"/>
      <c r="AP22" s="145"/>
      <c r="AQ22" s="145"/>
      <c r="AR22" s="145"/>
      <c r="AS22" s="145"/>
    </row>
    <row r="23" spans="1:45" s="34" customFormat="1" ht="9.6" customHeight="1" x14ac:dyDescent="0.2">
      <c r="A23" s="221"/>
      <c r="B23" s="220"/>
      <c r="C23" s="220"/>
      <c r="D23" s="220"/>
      <c r="E23" s="220"/>
      <c r="F23" s="141"/>
      <c r="G23" s="141"/>
      <c r="H23" s="145"/>
      <c r="I23" s="340"/>
      <c r="J23" s="220"/>
      <c r="K23" s="141"/>
      <c r="L23" s="141"/>
      <c r="M23" s="141"/>
      <c r="N23" s="143"/>
      <c r="O23" s="143"/>
      <c r="P23" s="143"/>
      <c r="Q23" s="143"/>
      <c r="R23" s="144"/>
      <c r="S23" s="145"/>
      <c r="T23" s="145"/>
      <c r="U23" s="145"/>
      <c r="V23" s="145"/>
      <c r="W23" s="145"/>
      <c r="X23" s="145"/>
      <c r="Y23" s="375"/>
      <c r="Z23" s="375"/>
      <c r="AA23" s="375" t="s">
        <v>72</v>
      </c>
      <c r="AB23" s="384">
        <v>10</v>
      </c>
      <c r="AC23" s="384">
        <v>6</v>
      </c>
      <c r="AD23" s="384">
        <v>3</v>
      </c>
      <c r="AE23" s="384">
        <v>1</v>
      </c>
      <c r="AF23" s="384">
        <v>0</v>
      </c>
      <c r="AG23" s="384">
        <v>0</v>
      </c>
      <c r="AH23" s="384">
        <v>0</v>
      </c>
      <c r="AI23" s="371"/>
      <c r="AJ23" s="371"/>
      <c r="AK23" s="371"/>
      <c r="AL23" s="145"/>
      <c r="AM23" s="145"/>
      <c r="AN23" s="145"/>
      <c r="AO23" s="145"/>
      <c r="AP23" s="145"/>
      <c r="AQ23" s="145"/>
      <c r="AR23" s="145"/>
      <c r="AS23" s="145"/>
    </row>
    <row r="24" spans="1:45" s="34" customFormat="1" ht="9.6" customHeight="1" x14ac:dyDescent="0.2">
      <c r="A24" s="221"/>
      <c r="B24" s="141"/>
      <c r="C24" s="141"/>
      <c r="D24" s="141"/>
      <c r="E24" s="220"/>
      <c r="F24" s="141"/>
      <c r="G24" s="141"/>
      <c r="H24" s="141"/>
      <c r="I24" s="141"/>
      <c r="J24" s="220"/>
      <c r="K24" s="141"/>
      <c r="L24" s="341"/>
      <c r="M24" s="141"/>
      <c r="N24" s="143"/>
      <c r="O24" s="143"/>
      <c r="P24" s="143"/>
      <c r="Q24" s="143"/>
      <c r="R24" s="144"/>
      <c r="S24" s="145"/>
      <c r="T24" s="145"/>
      <c r="U24" s="145"/>
      <c r="V24" s="145"/>
      <c r="W24" s="145"/>
      <c r="X24" s="145"/>
      <c r="Y24" s="375"/>
      <c r="Z24" s="375"/>
      <c r="AA24" s="375" t="s">
        <v>73</v>
      </c>
      <c r="AB24" s="384">
        <v>6</v>
      </c>
      <c r="AC24" s="384">
        <v>3</v>
      </c>
      <c r="AD24" s="384">
        <v>1</v>
      </c>
      <c r="AE24" s="384">
        <v>0</v>
      </c>
      <c r="AF24" s="384">
        <v>0</v>
      </c>
      <c r="AG24" s="384">
        <v>0</v>
      </c>
      <c r="AH24" s="384">
        <v>0</v>
      </c>
      <c r="AI24" s="371"/>
      <c r="AJ24" s="371"/>
      <c r="AK24" s="371"/>
      <c r="AL24" s="145"/>
      <c r="AM24" s="145"/>
      <c r="AN24" s="145"/>
      <c r="AO24" s="145"/>
      <c r="AP24" s="145"/>
      <c r="AQ24" s="145"/>
      <c r="AR24" s="145"/>
      <c r="AS24" s="145"/>
    </row>
    <row r="25" spans="1:45" s="34" customFormat="1" ht="9.6" customHeight="1" x14ac:dyDescent="0.2">
      <c r="A25" s="221"/>
      <c r="B25" s="220"/>
      <c r="C25" s="220"/>
      <c r="D25" s="220"/>
      <c r="E25" s="220"/>
      <c r="F25" s="141"/>
      <c r="G25" s="141"/>
      <c r="H25" s="145"/>
      <c r="I25" s="141"/>
      <c r="J25" s="220"/>
      <c r="K25" s="340"/>
      <c r="L25" s="220"/>
      <c r="M25" s="141"/>
      <c r="N25" s="143"/>
      <c r="O25" s="143"/>
      <c r="P25" s="143"/>
      <c r="Q25" s="143"/>
      <c r="R25" s="144"/>
      <c r="S25" s="145"/>
      <c r="T25" s="145"/>
      <c r="U25" s="145"/>
      <c r="V25" s="145"/>
      <c r="W25" s="145"/>
      <c r="X25" s="145"/>
      <c r="Y25" s="375"/>
      <c r="Z25" s="375"/>
      <c r="AA25" s="375" t="s">
        <v>78</v>
      </c>
      <c r="AB25" s="384">
        <v>3</v>
      </c>
      <c r="AC25" s="384">
        <v>2</v>
      </c>
      <c r="AD25" s="384">
        <v>1</v>
      </c>
      <c r="AE25" s="384">
        <v>0</v>
      </c>
      <c r="AF25" s="384">
        <v>0</v>
      </c>
      <c r="AG25" s="384">
        <v>0</v>
      </c>
      <c r="AH25" s="384">
        <v>0</v>
      </c>
      <c r="AI25" s="371"/>
      <c r="AJ25" s="371"/>
      <c r="AK25" s="371"/>
      <c r="AL25" s="145"/>
      <c r="AM25" s="145"/>
      <c r="AN25" s="145"/>
      <c r="AO25" s="145"/>
      <c r="AP25" s="145"/>
      <c r="AQ25" s="145"/>
      <c r="AR25" s="145"/>
      <c r="AS25" s="145"/>
    </row>
    <row r="26" spans="1:45" s="34" customFormat="1" ht="9.6" customHeight="1" x14ac:dyDescent="0.2">
      <c r="A26" s="221"/>
      <c r="B26" s="141"/>
      <c r="C26" s="141"/>
      <c r="D26" s="141"/>
      <c r="E26" s="220"/>
      <c r="F26" s="141"/>
      <c r="G26" s="141"/>
      <c r="H26" s="141"/>
      <c r="I26" s="141"/>
      <c r="J26" s="220"/>
      <c r="K26" s="141"/>
      <c r="L26" s="141"/>
      <c r="M26" s="141"/>
      <c r="N26" s="143"/>
      <c r="O26" s="143"/>
      <c r="P26" s="143"/>
      <c r="Q26" s="143"/>
      <c r="R26" s="144"/>
      <c r="S26" s="178"/>
      <c r="T26" s="145"/>
      <c r="U26" s="145"/>
      <c r="V26" s="145"/>
      <c r="W26" s="145"/>
      <c r="X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1"/>
      <c r="AJ26" s="371"/>
      <c r="AK26" s="371"/>
      <c r="AL26" s="145"/>
      <c r="AM26" s="145"/>
      <c r="AN26" s="145"/>
      <c r="AO26" s="145"/>
      <c r="AP26" s="145"/>
      <c r="AQ26" s="145"/>
      <c r="AR26" s="145"/>
      <c r="AS26" s="145"/>
    </row>
    <row r="27" spans="1:45" s="34" customFormat="1" ht="9.6" customHeight="1" x14ac:dyDescent="0.2">
      <c r="A27" s="221"/>
      <c r="B27" s="220"/>
      <c r="C27" s="220"/>
      <c r="D27" s="220"/>
      <c r="E27" s="220"/>
      <c r="F27" s="141"/>
      <c r="G27" s="141"/>
      <c r="H27" s="145"/>
      <c r="I27" s="340"/>
      <c r="J27" s="220"/>
      <c r="K27" s="141"/>
      <c r="L27" s="141"/>
      <c r="M27" s="141"/>
      <c r="N27" s="143"/>
      <c r="O27" s="143"/>
      <c r="P27" s="143"/>
      <c r="Q27" s="143"/>
      <c r="R27" s="144"/>
      <c r="S27" s="145"/>
      <c r="T27" s="145"/>
      <c r="U27" s="145"/>
      <c r="V27" s="145"/>
      <c r="W27" s="145"/>
      <c r="X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1"/>
      <c r="AJ27" s="371"/>
      <c r="AK27" s="371"/>
      <c r="AL27" s="145"/>
      <c r="AM27" s="145"/>
      <c r="AN27" s="145"/>
      <c r="AO27" s="145"/>
      <c r="AP27" s="145"/>
      <c r="AQ27" s="145"/>
      <c r="AR27" s="145"/>
      <c r="AS27" s="145"/>
    </row>
    <row r="28" spans="1:45" s="34" customFormat="1" ht="9.6" customHeight="1" x14ac:dyDescent="0.2">
      <c r="A28" s="221"/>
      <c r="B28" s="141"/>
      <c r="C28" s="141"/>
      <c r="D28" s="141"/>
      <c r="E28" s="220"/>
      <c r="F28" s="141"/>
      <c r="G28" s="141"/>
      <c r="H28" s="141"/>
      <c r="I28" s="141"/>
      <c r="J28" s="220"/>
      <c r="K28" s="141"/>
      <c r="L28" s="141"/>
      <c r="M28" s="141"/>
      <c r="N28" s="143"/>
      <c r="O28" s="143"/>
      <c r="P28" s="143"/>
      <c r="Q28" s="143"/>
      <c r="R28" s="144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393"/>
      <c r="AJ28" s="393"/>
      <c r="AK28" s="393"/>
      <c r="AL28" s="145"/>
      <c r="AM28" s="145"/>
      <c r="AN28" s="145"/>
      <c r="AO28" s="145"/>
      <c r="AP28" s="145"/>
      <c r="AQ28" s="145"/>
      <c r="AR28" s="145"/>
      <c r="AS28" s="145"/>
    </row>
    <row r="29" spans="1:45" s="34" customFormat="1" ht="9.6" customHeight="1" x14ac:dyDescent="0.2">
      <c r="A29" s="221"/>
      <c r="B29" s="220"/>
      <c r="C29" s="220"/>
      <c r="D29" s="220"/>
      <c r="E29" s="220"/>
      <c r="F29" s="141"/>
      <c r="G29" s="141"/>
      <c r="H29" s="145"/>
      <c r="I29" s="141"/>
      <c r="J29" s="220"/>
      <c r="K29" s="141"/>
      <c r="L29" s="141"/>
      <c r="M29" s="340"/>
      <c r="N29" s="220"/>
      <c r="O29" s="141"/>
      <c r="P29" s="143"/>
      <c r="Q29" s="143"/>
      <c r="R29" s="144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393"/>
      <c r="AJ29" s="393"/>
      <c r="AK29" s="393"/>
      <c r="AL29" s="145"/>
      <c r="AM29" s="145"/>
      <c r="AN29" s="145"/>
      <c r="AO29" s="145"/>
      <c r="AP29" s="145"/>
      <c r="AQ29" s="145"/>
      <c r="AR29" s="145"/>
      <c r="AS29" s="145"/>
    </row>
    <row r="30" spans="1:45" s="34" customFormat="1" ht="9.6" customHeight="1" x14ac:dyDescent="0.2">
      <c r="A30" s="221"/>
      <c r="B30" s="141"/>
      <c r="C30" s="141"/>
      <c r="D30" s="141"/>
      <c r="E30" s="220"/>
      <c r="F30" s="141"/>
      <c r="G30" s="141"/>
      <c r="H30" s="141"/>
      <c r="I30" s="141"/>
      <c r="J30" s="220"/>
      <c r="K30" s="141"/>
      <c r="L30" s="141"/>
      <c r="M30" s="141"/>
      <c r="N30" s="143"/>
      <c r="O30" s="141"/>
      <c r="P30" s="143"/>
      <c r="Q30" s="143"/>
      <c r="R30" s="144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393"/>
      <c r="AJ30" s="393"/>
      <c r="AK30" s="393"/>
      <c r="AL30" s="145"/>
      <c r="AM30" s="145"/>
      <c r="AN30" s="145"/>
      <c r="AO30" s="145"/>
      <c r="AP30" s="145"/>
      <c r="AQ30" s="145"/>
      <c r="AR30" s="145"/>
      <c r="AS30" s="145"/>
    </row>
    <row r="31" spans="1:45" s="34" customFormat="1" ht="9.6" customHeight="1" x14ac:dyDescent="0.2">
      <c r="A31" s="221"/>
      <c r="B31" s="220"/>
      <c r="C31" s="220"/>
      <c r="D31" s="220"/>
      <c r="E31" s="220"/>
      <c r="F31" s="141"/>
      <c r="G31" s="141"/>
      <c r="H31" s="145"/>
      <c r="I31" s="340"/>
      <c r="J31" s="220"/>
      <c r="K31" s="141"/>
      <c r="L31" s="141"/>
      <c r="M31" s="141"/>
      <c r="N31" s="143"/>
      <c r="O31" s="143"/>
      <c r="P31" s="143"/>
      <c r="Q31" s="143"/>
      <c r="R31" s="144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393"/>
      <c r="AJ31" s="393"/>
      <c r="AK31" s="393"/>
      <c r="AL31" s="145"/>
      <c r="AM31" s="145"/>
      <c r="AN31" s="145"/>
      <c r="AO31" s="145"/>
      <c r="AP31" s="145"/>
      <c r="AQ31" s="145"/>
      <c r="AR31" s="145"/>
      <c r="AS31" s="145"/>
    </row>
    <row r="32" spans="1:45" s="34" customFormat="1" ht="9.6" customHeight="1" x14ac:dyDescent="0.2">
      <c r="A32" s="221"/>
      <c r="B32" s="141"/>
      <c r="C32" s="141"/>
      <c r="D32" s="141"/>
      <c r="E32" s="220"/>
      <c r="F32" s="141"/>
      <c r="G32" s="141"/>
      <c r="H32" s="141"/>
      <c r="I32" s="141"/>
      <c r="J32" s="220"/>
      <c r="K32" s="141"/>
      <c r="L32" s="341"/>
      <c r="M32" s="141"/>
      <c r="N32" s="143"/>
      <c r="O32" s="143"/>
      <c r="P32" s="143"/>
      <c r="Q32" s="143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393"/>
      <c r="AJ32" s="393"/>
      <c r="AK32" s="393"/>
      <c r="AL32" s="145"/>
      <c r="AM32" s="145"/>
      <c r="AN32" s="145"/>
      <c r="AO32" s="145"/>
      <c r="AP32" s="145"/>
      <c r="AQ32" s="145"/>
      <c r="AR32" s="145"/>
      <c r="AS32" s="145"/>
    </row>
    <row r="33" spans="1:45" s="34" customFormat="1" ht="9.6" customHeight="1" x14ac:dyDescent="0.2">
      <c r="A33" s="221"/>
      <c r="B33" s="220"/>
      <c r="C33" s="220"/>
      <c r="D33" s="220"/>
      <c r="E33" s="220"/>
      <c r="F33" s="141"/>
      <c r="G33" s="141"/>
      <c r="H33" s="145"/>
      <c r="I33" s="141"/>
      <c r="J33" s="220"/>
      <c r="K33" s="340"/>
      <c r="L33" s="220"/>
      <c r="M33" s="141"/>
      <c r="N33" s="143"/>
      <c r="O33" s="143"/>
      <c r="P33" s="143"/>
      <c r="Q33" s="143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393"/>
      <c r="AJ33" s="393"/>
      <c r="AK33" s="393"/>
      <c r="AL33" s="145"/>
      <c r="AM33" s="145"/>
      <c r="AN33" s="145"/>
      <c r="AO33" s="145"/>
      <c r="AP33" s="145"/>
      <c r="AQ33" s="145"/>
      <c r="AR33" s="145"/>
      <c r="AS33" s="145"/>
    </row>
    <row r="34" spans="1:45" s="34" customFormat="1" ht="9.6" customHeight="1" x14ac:dyDescent="0.2">
      <c r="A34" s="221"/>
      <c r="B34" s="141"/>
      <c r="C34" s="141"/>
      <c r="D34" s="141"/>
      <c r="E34" s="220"/>
      <c r="F34" s="141"/>
      <c r="G34" s="141"/>
      <c r="H34" s="141"/>
      <c r="I34" s="141"/>
      <c r="J34" s="220"/>
      <c r="K34" s="141"/>
      <c r="L34" s="141"/>
      <c r="M34" s="141"/>
      <c r="N34" s="143"/>
      <c r="O34" s="143"/>
      <c r="P34" s="143"/>
      <c r="Q34" s="143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393"/>
      <c r="AJ34" s="393"/>
      <c r="AK34" s="393"/>
      <c r="AL34" s="145"/>
      <c r="AM34" s="145"/>
      <c r="AN34" s="145"/>
      <c r="AO34" s="145"/>
      <c r="AP34" s="145"/>
      <c r="AQ34" s="145"/>
      <c r="AR34" s="145"/>
      <c r="AS34" s="145"/>
    </row>
    <row r="35" spans="1:45" s="34" customFormat="1" ht="9.6" customHeight="1" x14ac:dyDescent="0.2">
      <c r="A35" s="221"/>
      <c r="B35" s="220"/>
      <c r="C35" s="220"/>
      <c r="D35" s="220"/>
      <c r="E35" s="220"/>
      <c r="F35" s="141"/>
      <c r="G35" s="141"/>
      <c r="H35" s="145"/>
      <c r="I35" s="340"/>
      <c r="J35" s="220"/>
      <c r="K35" s="141"/>
      <c r="L35" s="141"/>
      <c r="M35" s="141"/>
      <c r="N35" s="143"/>
      <c r="O35" s="143"/>
      <c r="P35" s="143"/>
      <c r="Q35" s="143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393"/>
      <c r="AJ35" s="393"/>
      <c r="AK35" s="393"/>
      <c r="AL35" s="145"/>
      <c r="AM35" s="145"/>
      <c r="AN35" s="145"/>
      <c r="AO35" s="145"/>
      <c r="AP35" s="145"/>
      <c r="AQ35" s="145"/>
      <c r="AR35" s="145"/>
      <c r="AS35" s="145"/>
    </row>
    <row r="36" spans="1:45" s="34" customFormat="1" ht="9.6" customHeight="1" x14ac:dyDescent="0.2">
      <c r="A36" s="350"/>
      <c r="B36" s="141"/>
      <c r="C36" s="141"/>
      <c r="D36" s="141"/>
      <c r="E36" s="220"/>
      <c r="F36" s="141"/>
      <c r="G36" s="141"/>
      <c r="H36" s="141"/>
      <c r="I36" s="141"/>
      <c r="J36" s="220"/>
      <c r="K36" s="141"/>
      <c r="L36" s="141"/>
      <c r="M36" s="141"/>
      <c r="N36" s="141"/>
      <c r="O36" s="141"/>
      <c r="P36" s="141"/>
      <c r="Q36" s="143"/>
      <c r="R36" s="144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393"/>
      <c r="AJ36" s="393"/>
      <c r="AK36" s="393"/>
      <c r="AL36" s="145"/>
      <c r="AM36" s="145"/>
      <c r="AN36" s="145"/>
      <c r="AO36" s="145"/>
      <c r="AP36" s="145"/>
      <c r="AQ36" s="145"/>
      <c r="AR36" s="145"/>
      <c r="AS36" s="145"/>
    </row>
    <row r="37" spans="1:45" s="34" customFormat="1" ht="9.6" customHeight="1" x14ac:dyDescent="0.2">
      <c r="A37" s="221"/>
      <c r="B37" s="220"/>
      <c r="C37" s="220"/>
      <c r="D37" s="220"/>
      <c r="E37" s="220"/>
      <c r="F37" s="336"/>
      <c r="G37" s="336"/>
      <c r="H37" s="339"/>
      <c r="I37" s="321"/>
      <c r="J37" s="329"/>
      <c r="K37" s="321"/>
      <c r="L37" s="321"/>
      <c r="M37" s="321"/>
      <c r="N37" s="331"/>
      <c r="O37" s="331"/>
      <c r="P37" s="331"/>
      <c r="Q37" s="143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393"/>
      <c r="AJ37" s="393"/>
      <c r="AK37" s="393"/>
      <c r="AL37" s="145"/>
      <c r="AM37" s="145"/>
      <c r="AN37" s="145"/>
      <c r="AO37" s="145"/>
      <c r="AP37" s="145"/>
      <c r="AQ37" s="145"/>
      <c r="AR37" s="145"/>
      <c r="AS37" s="145"/>
    </row>
    <row r="38" spans="1:45" s="34" customFormat="1" ht="9.6" customHeight="1" x14ac:dyDescent="0.2">
      <c r="A38" s="350"/>
      <c r="B38" s="141"/>
      <c r="C38" s="141"/>
      <c r="D38" s="141"/>
      <c r="E38" s="220"/>
      <c r="F38" s="141"/>
      <c r="G38" s="141"/>
      <c r="H38" s="141"/>
      <c r="I38" s="141"/>
      <c r="J38" s="220"/>
      <c r="K38" s="141"/>
      <c r="L38" s="141"/>
      <c r="M38" s="141"/>
      <c r="N38" s="143"/>
      <c r="O38" s="143"/>
      <c r="P38" s="143"/>
      <c r="Q38" s="143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393"/>
      <c r="AJ38" s="393"/>
      <c r="AK38" s="393"/>
      <c r="AL38" s="145"/>
      <c r="AM38" s="145"/>
      <c r="AN38" s="145"/>
      <c r="AO38" s="145"/>
      <c r="AP38" s="145"/>
      <c r="AQ38" s="145"/>
      <c r="AR38" s="145"/>
      <c r="AS38" s="145"/>
    </row>
    <row r="39" spans="1:45" s="34" customFormat="1" ht="9.6" customHeight="1" x14ac:dyDescent="0.2">
      <c r="A39" s="221"/>
      <c r="B39" s="220"/>
      <c r="C39" s="220"/>
      <c r="D39" s="220"/>
      <c r="E39" s="220"/>
      <c r="F39" s="141"/>
      <c r="G39" s="141"/>
      <c r="H39" s="145"/>
      <c r="I39" s="340"/>
      <c r="J39" s="220"/>
      <c r="K39" s="141"/>
      <c r="L39" s="141"/>
      <c r="M39" s="141"/>
      <c r="N39" s="143"/>
      <c r="O39" s="143"/>
      <c r="P39" s="143"/>
      <c r="Q39" s="143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393"/>
      <c r="AJ39" s="393"/>
      <c r="AK39" s="393"/>
      <c r="AL39" s="145"/>
      <c r="AM39" s="145"/>
      <c r="AN39" s="145"/>
      <c r="AO39" s="145"/>
      <c r="AP39" s="145"/>
      <c r="AQ39" s="145"/>
      <c r="AR39" s="145"/>
      <c r="AS39" s="145"/>
    </row>
    <row r="40" spans="1:45" s="34" customFormat="1" ht="9.6" customHeight="1" x14ac:dyDescent="0.2">
      <c r="A40" s="221"/>
      <c r="B40" s="141"/>
      <c r="C40" s="141"/>
      <c r="D40" s="141"/>
      <c r="E40" s="220"/>
      <c r="F40" s="141"/>
      <c r="G40" s="141"/>
      <c r="H40" s="141"/>
      <c r="I40" s="141"/>
      <c r="J40" s="220"/>
      <c r="K40" s="141"/>
      <c r="L40" s="341"/>
      <c r="M40" s="141"/>
      <c r="N40" s="143"/>
      <c r="O40" s="143"/>
      <c r="P40" s="143"/>
      <c r="Q40" s="143"/>
      <c r="R40" s="144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393"/>
      <c r="AJ40" s="393"/>
      <c r="AK40" s="393"/>
      <c r="AL40" s="145"/>
      <c r="AM40" s="145"/>
      <c r="AN40" s="145"/>
      <c r="AO40" s="145"/>
      <c r="AP40" s="145"/>
      <c r="AQ40" s="145"/>
      <c r="AR40" s="145"/>
      <c r="AS40" s="145"/>
    </row>
    <row r="41" spans="1:45" s="34" customFormat="1" ht="9.6" customHeight="1" x14ac:dyDescent="0.2">
      <c r="A41" s="221"/>
      <c r="B41" s="220"/>
      <c r="C41" s="220"/>
      <c r="D41" s="220"/>
      <c r="E41" s="220"/>
      <c r="F41" s="141"/>
      <c r="G41" s="141"/>
      <c r="H41" s="145"/>
      <c r="I41" s="141"/>
      <c r="J41" s="220"/>
      <c r="K41" s="340"/>
      <c r="L41" s="220"/>
      <c r="M41" s="141"/>
      <c r="N41" s="143"/>
      <c r="O41" s="143"/>
      <c r="P41" s="143"/>
      <c r="Q41" s="143"/>
      <c r="R41" s="144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393"/>
      <c r="AJ41" s="393"/>
      <c r="AK41" s="393"/>
      <c r="AL41" s="145"/>
      <c r="AM41" s="145"/>
      <c r="AN41" s="145"/>
      <c r="AO41" s="145"/>
      <c r="AP41" s="145"/>
      <c r="AQ41" s="145"/>
      <c r="AR41" s="145"/>
      <c r="AS41" s="145"/>
    </row>
    <row r="42" spans="1:45" s="34" customFormat="1" ht="9.6" customHeight="1" x14ac:dyDescent="0.2">
      <c r="A42" s="221"/>
      <c r="B42" s="141"/>
      <c r="C42" s="141"/>
      <c r="D42" s="141"/>
      <c r="E42" s="220"/>
      <c r="F42" s="141"/>
      <c r="G42" s="141"/>
      <c r="H42" s="141"/>
      <c r="I42" s="141"/>
      <c r="J42" s="220"/>
      <c r="K42" s="141"/>
      <c r="L42" s="141"/>
      <c r="M42" s="141"/>
      <c r="N42" s="143"/>
      <c r="O42" s="143"/>
      <c r="P42" s="143"/>
      <c r="Q42" s="143"/>
      <c r="R42" s="144"/>
      <c r="S42" s="178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393"/>
      <c r="AJ42" s="393"/>
      <c r="AK42" s="393"/>
      <c r="AL42" s="145"/>
      <c r="AM42" s="145"/>
      <c r="AN42" s="145"/>
      <c r="AO42" s="145"/>
      <c r="AP42" s="145"/>
      <c r="AQ42" s="145"/>
      <c r="AR42" s="145"/>
      <c r="AS42" s="145"/>
    </row>
    <row r="43" spans="1:45" s="34" customFormat="1" ht="9.6" customHeight="1" x14ac:dyDescent="0.2">
      <c r="A43" s="221"/>
      <c r="B43" s="220"/>
      <c r="C43" s="220"/>
      <c r="D43" s="220"/>
      <c r="E43" s="220"/>
      <c r="F43" s="141"/>
      <c r="G43" s="141"/>
      <c r="H43" s="145"/>
      <c r="I43" s="340"/>
      <c r="J43" s="220"/>
      <c r="K43" s="141"/>
      <c r="L43" s="141"/>
      <c r="M43" s="141"/>
      <c r="N43" s="143"/>
      <c r="O43" s="143"/>
      <c r="P43" s="143"/>
      <c r="Q43" s="143"/>
      <c r="R43" s="144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393"/>
      <c r="AJ43" s="393"/>
      <c r="AK43" s="393"/>
      <c r="AL43" s="145"/>
      <c r="AM43" s="145"/>
      <c r="AN43" s="145"/>
      <c r="AO43" s="145"/>
      <c r="AP43" s="145"/>
      <c r="AQ43" s="145"/>
      <c r="AR43" s="145"/>
      <c r="AS43" s="145"/>
    </row>
    <row r="44" spans="1:45" s="34" customFormat="1" ht="9.6" customHeight="1" x14ac:dyDescent="0.2">
      <c r="A44" s="221"/>
      <c r="B44" s="141"/>
      <c r="C44" s="141"/>
      <c r="D44" s="141"/>
      <c r="E44" s="220"/>
      <c r="F44" s="141"/>
      <c r="G44" s="141"/>
      <c r="H44" s="141"/>
      <c r="I44" s="141"/>
      <c r="J44" s="220"/>
      <c r="K44" s="141"/>
      <c r="L44" s="141"/>
      <c r="M44" s="141"/>
      <c r="N44" s="143"/>
      <c r="O44" s="143"/>
      <c r="P44" s="143"/>
      <c r="Q44" s="143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393"/>
      <c r="AJ44" s="393"/>
      <c r="AK44" s="393"/>
      <c r="AL44" s="145"/>
      <c r="AM44" s="145"/>
      <c r="AN44" s="145"/>
      <c r="AO44" s="145"/>
      <c r="AP44" s="145"/>
      <c r="AQ44" s="145"/>
      <c r="AR44" s="145"/>
      <c r="AS44" s="145"/>
    </row>
    <row r="45" spans="1:45" s="34" customFormat="1" ht="9.6" customHeight="1" x14ac:dyDescent="0.2">
      <c r="A45" s="221"/>
      <c r="B45" s="220"/>
      <c r="C45" s="220"/>
      <c r="D45" s="220"/>
      <c r="E45" s="220"/>
      <c r="F45" s="141"/>
      <c r="G45" s="141"/>
      <c r="H45" s="145"/>
      <c r="I45" s="141"/>
      <c r="J45" s="220"/>
      <c r="K45" s="141"/>
      <c r="L45" s="141"/>
      <c r="M45" s="340"/>
      <c r="N45" s="220"/>
      <c r="O45" s="141"/>
      <c r="P45" s="143"/>
      <c r="Q45" s="143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393"/>
      <c r="AJ45" s="393"/>
      <c r="AK45" s="393"/>
      <c r="AL45" s="145"/>
      <c r="AM45" s="145"/>
      <c r="AN45" s="145"/>
      <c r="AO45" s="145"/>
      <c r="AP45" s="145"/>
      <c r="AQ45" s="145"/>
      <c r="AR45" s="145"/>
      <c r="AS45" s="145"/>
    </row>
    <row r="46" spans="1:45" s="34" customFormat="1" ht="9.6" customHeight="1" x14ac:dyDescent="0.2">
      <c r="A46" s="221"/>
      <c r="B46" s="141"/>
      <c r="C46" s="141"/>
      <c r="D46" s="141"/>
      <c r="E46" s="220"/>
      <c r="F46" s="141"/>
      <c r="G46" s="141"/>
      <c r="H46" s="141"/>
      <c r="I46" s="141"/>
      <c r="J46" s="220"/>
      <c r="K46" s="141"/>
      <c r="L46" s="141"/>
      <c r="M46" s="141"/>
      <c r="N46" s="143"/>
      <c r="O46" s="141"/>
      <c r="P46" s="143"/>
      <c r="Q46" s="143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393"/>
      <c r="AJ46" s="393"/>
      <c r="AK46" s="393"/>
      <c r="AL46" s="145"/>
      <c r="AM46" s="145"/>
      <c r="AN46" s="145"/>
      <c r="AO46" s="145"/>
      <c r="AP46" s="145"/>
      <c r="AQ46" s="145"/>
      <c r="AR46" s="145"/>
      <c r="AS46" s="145"/>
    </row>
    <row r="47" spans="1:45" s="34" customFormat="1" ht="9.6" customHeight="1" x14ac:dyDescent="0.2">
      <c r="A47" s="221"/>
      <c r="B47" s="220"/>
      <c r="C47" s="220"/>
      <c r="D47" s="220"/>
      <c r="E47" s="220"/>
      <c r="F47" s="141"/>
      <c r="G47" s="141"/>
      <c r="H47" s="145"/>
      <c r="I47" s="340"/>
      <c r="J47" s="220"/>
      <c r="K47" s="141"/>
      <c r="L47" s="141"/>
      <c r="M47" s="141"/>
      <c r="N47" s="143"/>
      <c r="O47" s="143"/>
      <c r="P47" s="143"/>
      <c r="Q47" s="143"/>
      <c r="R47" s="144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393"/>
      <c r="AJ47" s="393"/>
      <c r="AK47" s="393"/>
      <c r="AL47" s="145"/>
      <c r="AM47" s="145"/>
      <c r="AN47" s="145"/>
      <c r="AO47" s="145"/>
      <c r="AP47" s="145"/>
      <c r="AQ47" s="145"/>
      <c r="AR47" s="145"/>
      <c r="AS47" s="145"/>
    </row>
    <row r="48" spans="1:45" s="34" customFormat="1" ht="9.6" customHeight="1" x14ac:dyDescent="0.2">
      <c r="A48" s="221"/>
      <c r="B48" s="141"/>
      <c r="C48" s="141"/>
      <c r="D48" s="141"/>
      <c r="E48" s="220"/>
      <c r="F48" s="141"/>
      <c r="G48" s="141"/>
      <c r="H48" s="141"/>
      <c r="I48" s="141"/>
      <c r="J48" s="220"/>
      <c r="K48" s="141"/>
      <c r="L48" s="341"/>
      <c r="M48" s="141"/>
      <c r="N48" s="143"/>
      <c r="O48" s="143"/>
      <c r="P48" s="143"/>
      <c r="Q48" s="143"/>
      <c r="R48" s="144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393"/>
      <c r="AJ48" s="393"/>
      <c r="AK48" s="393"/>
      <c r="AL48" s="145"/>
      <c r="AM48" s="145"/>
      <c r="AN48" s="145"/>
      <c r="AO48" s="145"/>
      <c r="AP48" s="145"/>
      <c r="AQ48" s="145"/>
      <c r="AR48" s="145"/>
      <c r="AS48" s="145"/>
    </row>
    <row r="49" spans="1:45" s="34" customFormat="1" ht="9.6" customHeight="1" x14ac:dyDescent="0.2">
      <c r="A49" s="221"/>
      <c r="B49" s="220"/>
      <c r="C49" s="220"/>
      <c r="D49" s="220"/>
      <c r="E49" s="220"/>
      <c r="F49" s="141"/>
      <c r="G49" s="141"/>
      <c r="H49" s="145"/>
      <c r="I49" s="141"/>
      <c r="J49" s="220"/>
      <c r="K49" s="340"/>
      <c r="L49" s="220"/>
      <c r="M49" s="141"/>
      <c r="N49" s="143"/>
      <c r="O49" s="143"/>
      <c r="P49" s="143"/>
      <c r="Q49" s="143"/>
      <c r="R49" s="144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393"/>
      <c r="AJ49" s="393"/>
      <c r="AK49" s="393"/>
      <c r="AL49" s="145"/>
      <c r="AM49" s="145"/>
      <c r="AN49" s="145"/>
      <c r="AO49" s="145"/>
      <c r="AP49" s="145"/>
      <c r="AQ49" s="145"/>
      <c r="AR49" s="145"/>
      <c r="AS49" s="145"/>
    </row>
    <row r="50" spans="1:45" s="34" customFormat="1" ht="9.6" customHeight="1" x14ac:dyDescent="0.2">
      <c r="A50" s="221"/>
      <c r="B50" s="141"/>
      <c r="C50" s="141"/>
      <c r="D50" s="141"/>
      <c r="E50" s="220"/>
      <c r="F50" s="141"/>
      <c r="G50" s="141"/>
      <c r="H50" s="141"/>
      <c r="I50" s="141"/>
      <c r="J50" s="220"/>
      <c r="K50" s="141"/>
      <c r="L50" s="141"/>
      <c r="M50" s="141"/>
      <c r="N50" s="143"/>
      <c r="O50" s="143"/>
      <c r="P50" s="143"/>
      <c r="Q50" s="143"/>
      <c r="R50" s="144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393"/>
      <c r="AJ50" s="393"/>
      <c r="AK50" s="393"/>
      <c r="AL50" s="145"/>
      <c r="AM50" s="145"/>
      <c r="AN50" s="145"/>
      <c r="AO50" s="145"/>
      <c r="AP50" s="145"/>
      <c r="AQ50" s="145"/>
      <c r="AR50" s="145"/>
      <c r="AS50" s="145"/>
    </row>
    <row r="51" spans="1:45" s="34" customFormat="1" ht="9.6" customHeight="1" x14ac:dyDescent="0.2">
      <c r="A51" s="221"/>
      <c r="B51" s="220"/>
      <c r="C51" s="220"/>
      <c r="D51" s="220"/>
      <c r="E51" s="220"/>
      <c r="F51" s="141"/>
      <c r="G51" s="141"/>
      <c r="H51" s="145"/>
      <c r="I51" s="340"/>
      <c r="J51" s="220"/>
      <c r="K51" s="141"/>
      <c r="L51" s="141"/>
      <c r="M51" s="141"/>
      <c r="N51" s="143"/>
      <c r="O51" s="143"/>
      <c r="P51" s="143"/>
      <c r="Q51" s="143"/>
      <c r="R51" s="14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393"/>
      <c r="AJ51" s="393"/>
      <c r="AK51" s="393"/>
      <c r="AL51" s="145"/>
      <c r="AM51" s="145"/>
      <c r="AN51" s="145"/>
      <c r="AO51" s="145"/>
      <c r="AP51" s="145"/>
      <c r="AQ51" s="145"/>
      <c r="AR51" s="145"/>
      <c r="AS51" s="145"/>
    </row>
    <row r="52" spans="1:45" s="34" customFormat="1" ht="9.6" customHeight="1" x14ac:dyDescent="0.2">
      <c r="A52" s="350"/>
      <c r="B52" s="141"/>
      <c r="C52" s="141"/>
      <c r="D52" s="141"/>
      <c r="E52" s="220"/>
      <c r="F52" s="426"/>
      <c r="G52" s="426"/>
      <c r="H52" s="426"/>
      <c r="I52" s="426"/>
      <c r="J52" s="220"/>
      <c r="K52" s="141"/>
      <c r="L52" s="141"/>
      <c r="M52" s="141"/>
      <c r="N52" s="141"/>
      <c r="O52" s="141"/>
      <c r="P52" s="141"/>
      <c r="Q52" s="143"/>
      <c r="R52" s="144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393"/>
      <c r="AJ52" s="393"/>
      <c r="AK52" s="393"/>
      <c r="AL52" s="145"/>
      <c r="AM52" s="145"/>
      <c r="AN52" s="145"/>
      <c r="AO52" s="145"/>
      <c r="AP52" s="145"/>
      <c r="AQ52" s="145"/>
      <c r="AR52" s="145"/>
      <c r="AS52" s="145"/>
    </row>
    <row r="53" spans="1:45" s="2" customFormat="1" ht="6.75" customHeight="1" x14ac:dyDescent="0.2">
      <c r="A53" s="179"/>
      <c r="B53" s="179"/>
      <c r="C53" s="179"/>
      <c r="D53" s="179"/>
      <c r="E53" s="179"/>
      <c r="F53" s="427"/>
      <c r="G53" s="427"/>
      <c r="H53" s="427"/>
      <c r="I53" s="427"/>
      <c r="J53" s="181"/>
      <c r="K53" s="182"/>
      <c r="L53" s="183"/>
      <c r="M53" s="182"/>
      <c r="N53" s="183"/>
      <c r="O53" s="182"/>
      <c r="P53" s="183"/>
      <c r="Q53" s="182"/>
      <c r="R53" s="183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393"/>
      <c r="AJ53" s="393"/>
      <c r="AK53" s="393"/>
      <c r="AL53" s="184"/>
      <c r="AM53" s="184"/>
      <c r="AN53" s="184"/>
      <c r="AO53" s="184"/>
      <c r="AP53" s="184"/>
      <c r="AQ53" s="184"/>
      <c r="AR53" s="184"/>
      <c r="AS53" s="184"/>
    </row>
    <row r="54" spans="1:45" s="18" customFormat="1" ht="10.5" customHeight="1" x14ac:dyDescent="0.2">
      <c r="A54" s="185" t="s">
        <v>44</v>
      </c>
      <c r="B54" s="186"/>
      <c r="C54" s="186"/>
      <c r="D54" s="276"/>
      <c r="E54" s="187" t="s">
        <v>5</v>
      </c>
      <c r="F54" s="188" t="s">
        <v>46</v>
      </c>
      <c r="G54" s="187"/>
      <c r="H54" s="189"/>
      <c r="I54" s="190"/>
      <c r="J54" s="187" t="s">
        <v>5</v>
      </c>
      <c r="K54" s="188" t="s">
        <v>54</v>
      </c>
      <c r="L54" s="191"/>
      <c r="M54" s="188" t="s">
        <v>55</v>
      </c>
      <c r="N54" s="192"/>
      <c r="O54" s="193" t="s">
        <v>56</v>
      </c>
      <c r="P54" s="193"/>
      <c r="Q54" s="194"/>
      <c r="R54" s="195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394"/>
      <c r="AJ54" s="394"/>
      <c r="AK54" s="394"/>
      <c r="AL54" s="87"/>
      <c r="AM54" s="87"/>
      <c r="AN54" s="87"/>
      <c r="AO54" s="87"/>
      <c r="AP54" s="87"/>
      <c r="AQ54" s="87"/>
      <c r="AR54" s="87"/>
      <c r="AS54" s="87"/>
    </row>
    <row r="55" spans="1:45" s="18" customFormat="1" ht="9" customHeight="1" x14ac:dyDescent="0.2">
      <c r="A55" s="359" t="s">
        <v>45</v>
      </c>
      <c r="B55" s="360"/>
      <c r="C55" s="361"/>
      <c r="D55" s="362"/>
      <c r="E55" s="198">
        <v>1</v>
      </c>
      <c r="F55" s="87" t="str">
        <f>IF(E55&gt;$R$62,,UPPER(VLOOKUP(E55,'F14 csapat ELO'!$A$7:$Q$134,2)))</f>
        <v>PASARÉT TK 1</v>
      </c>
      <c r="G55" s="198"/>
      <c r="H55" s="87"/>
      <c r="I55" s="86"/>
      <c r="J55" s="351" t="s">
        <v>6</v>
      </c>
      <c r="K55" s="85"/>
      <c r="L55" s="352"/>
      <c r="M55" s="85"/>
      <c r="N55" s="353"/>
      <c r="O55" s="354" t="s">
        <v>47</v>
      </c>
      <c r="P55" s="355"/>
      <c r="Q55" s="355"/>
      <c r="R55" s="353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394"/>
      <c r="AJ55" s="394"/>
      <c r="AK55" s="394"/>
      <c r="AL55" s="87"/>
      <c r="AM55" s="87"/>
      <c r="AN55" s="87"/>
      <c r="AO55" s="87"/>
      <c r="AP55" s="87"/>
      <c r="AQ55" s="87"/>
      <c r="AR55" s="87"/>
      <c r="AS55" s="87"/>
    </row>
    <row r="56" spans="1:45" s="18" customFormat="1" ht="9" customHeight="1" x14ac:dyDescent="0.2">
      <c r="A56" s="363" t="s">
        <v>53</v>
      </c>
      <c r="B56" s="222"/>
      <c r="C56" s="364"/>
      <c r="D56" s="365"/>
      <c r="E56" s="198">
        <v>2</v>
      </c>
      <c r="F56" s="87" t="str">
        <f>IF(E56&gt;$R$62,,UPPER(VLOOKUP(E56,'F14 csapat ELO'!$A$7:$Q$134,2)))</f>
        <v>TENISZ MÚHELY 2</v>
      </c>
      <c r="G56" s="198"/>
      <c r="H56" s="87"/>
      <c r="I56" s="86"/>
      <c r="J56" s="351" t="s">
        <v>7</v>
      </c>
      <c r="K56" s="85"/>
      <c r="L56" s="352"/>
      <c r="M56" s="85"/>
      <c r="N56" s="353"/>
      <c r="O56" s="214"/>
      <c r="P56" s="356"/>
      <c r="Q56" s="222"/>
      <c r="R56" s="35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394"/>
      <c r="AJ56" s="394"/>
      <c r="AK56" s="394"/>
      <c r="AL56" s="87"/>
      <c r="AM56" s="87"/>
      <c r="AN56" s="87"/>
      <c r="AO56" s="87"/>
      <c r="AP56" s="87"/>
      <c r="AQ56" s="87"/>
      <c r="AR56" s="87"/>
      <c r="AS56" s="87"/>
    </row>
    <row r="57" spans="1:45" s="18" customFormat="1" ht="9" customHeight="1" x14ac:dyDescent="0.2">
      <c r="A57" s="236"/>
      <c r="B57" s="237"/>
      <c r="C57" s="274"/>
      <c r="D57" s="238"/>
      <c r="E57" s="198"/>
      <c r="F57" s="87"/>
      <c r="G57" s="198"/>
      <c r="H57" s="87"/>
      <c r="I57" s="86"/>
      <c r="J57" s="351" t="s">
        <v>8</v>
      </c>
      <c r="K57" s="85"/>
      <c r="L57" s="352"/>
      <c r="M57" s="85"/>
      <c r="N57" s="353"/>
      <c r="O57" s="354" t="s">
        <v>48</v>
      </c>
      <c r="P57" s="355"/>
      <c r="Q57" s="355"/>
      <c r="R57" s="353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394"/>
      <c r="AJ57" s="394"/>
      <c r="AK57" s="394"/>
      <c r="AL57" s="87"/>
      <c r="AM57" s="87"/>
      <c r="AN57" s="87"/>
      <c r="AO57" s="87"/>
      <c r="AP57" s="87"/>
      <c r="AQ57" s="87"/>
      <c r="AR57" s="87"/>
      <c r="AS57" s="87"/>
    </row>
    <row r="58" spans="1:45" s="18" customFormat="1" ht="9" customHeight="1" x14ac:dyDescent="0.2">
      <c r="A58" s="211"/>
      <c r="B58" s="269"/>
      <c r="C58" s="269"/>
      <c r="D58" s="212"/>
      <c r="E58" s="198"/>
      <c r="F58" s="87"/>
      <c r="G58" s="198"/>
      <c r="H58" s="87"/>
      <c r="I58" s="86"/>
      <c r="J58" s="351" t="s">
        <v>9</v>
      </c>
      <c r="K58" s="85"/>
      <c r="L58" s="352"/>
      <c r="M58" s="85"/>
      <c r="N58" s="353"/>
      <c r="O58" s="85"/>
      <c r="P58" s="352"/>
      <c r="Q58" s="85"/>
      <c r="R58" s="353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394"/>
      <c r="AJ58" s="394"/>
      <c r="AK58" s="394"/>
      <c r="AL58" s="87"/>
      <c r="AM58" s="87"/>
      <c r="AN58" s="87"/>
      <c r="AO58" s="87"/>
      <c r="AP58" s="87"/>
      <c r="AQ58" s="87"/>
      <c r="AR58" s="87"/>
      <c r="AS58" s="87"/>
    </row>
    <row r="59" spans="1:45" s="18" customFormat="1" ht="9" customHeight="1" x14ac:dyDescent="0.2">
      <c r="A59" s="224"/>
      <c r="B59" s="239"/>
      <c r="C59" s="239"/>
      <c r="D59" s="275"/>
      <c r="E59" s="198"/>
      <c r="F59" s="87"/>
      <c r="G59" s="198"/>
      <c r="H59" s="87"/>
      <c r="I59" s="86"/>
      <c r="J59" s="351" t="s">
        <v>10</v>
      </c>
      <c r="K59" s="85"/>
      <c r="L59" s="352"/>
      <c r="M59" s="85"/>
      <c r="N59" s="353"/>
      <c r="O59" s="222"/>
      <c r="P59" s="356"/>
      <c r="Q59" s="222"/>
      <c r="R59" s="35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394"/>
      <c r="AJ59" s="394"/>
      <c r="AK59" s="394"/>
      <c r="AL59" s="87"/>
      <c r="AM59" s="87"/>
      <c r="AN59" s="87"/>
      <c r="AO59" s="87"/>
      <c r="AP59" s="87"/>
      <c r="AQ59" s="87"/>
      <c r="AR59" s="87"/>
      <c r="AS59" s="87"/>
    </row>
    <row r="60" spans="1:45" s="18" customFormat="1" ht="9" customHeight="1" x14ac:dyDescent="0.2">
      <c r="A60" s="225"/>
      <c r="B60" s="242"/>
      <c r="C60" s="269"/>
      <c r="D60" s="212"/>
      <c r="E60" s="198"/>
      <c r="F60" s="87"/>
      <c r="G60" s="198"/>
      <c r="H60" s="87"/>
      <c r="I60" s="86"/>
      <c r="J60" s="351" t="s">
        <v>11</v>
      </c>
      <c r="K60" s="85"/>
      <c r="L60" s="352"/>
      <c r="M60" s="85"/>
      <c r="N60" s="353"/>
      <c r="O60" s="354" t="s">
        <v>34</v>
      </c>
      <c r="P60" s="355"/>
      <c r="Q60" s="355"/>
      <c r="R60" s="353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394"/>
      <c r="AJ60" s="394"/>
      <c r="AK60" s="394"/>
      <c r="AL60" s="87"/>
      <c r="AM60" s="87"/>
      <c r="AN60" s="87"/>
      <c r="AO60" s="87"/>
      <c r="AP60" s="87"/>
      <c r="AQ60" s="87"/>
      <c r="AR60" s="87"/>
      <c r="AS60" s="87"/>
    </row>
    <row r="61" spans="1:45" s="18" customFormat="1" ht="9" customHeight="1" x14ac:dyDescent="0.2">
      <c r="A61" s="225"/>
      <c r="B61" s="242"/>
      <c r="C61" s="270"/>
      <c r="D61" s="234"/>
      <c r="E61" s="198"/>
      <c r="F61" s="87"/>
      <c r="G61" s="198"/>
      <c r="H61" s="87"/>
      <c r="I61" s="86"/>
      <c r="J61" s="351" t="s">
        <v>12</v>
      </c>
      <c r="K61" s="85"/>
      <c r="L61" s="352"/>
      <c r="M61" s="85"/>
      <c r="N61" s="353"/>
      <c r="O61" s="85"/>
      <c r="P61" s="352"/>
      <c r="Q61" s="85"/>
      <c r="R61" s="353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394"/>
      <c r="AJ61" s="394"/>
      <c r="AK61" s="394"/>
      <c r="AL61" s="87"/>
      <c r="AM61" s="87"/>
      <c r="AN61" s="87"/>
      <c r="AO61" s="87"/>
      <c r="AP61" s="87"/>
      <c r="AQ61" s="87"/>
      <c r="AR61" s="87"/>
      <c r="AS61" s="87"/>
    </row>
    <row r="62" spans="1:45" s="18" customFormat="1" ht="9" customHeight="1" x14ac:dyDescent="0.2">
      <c r="A62" s="226"/>
      <c r="B62" s="223"/>
      <c r="C62" s="271"/>
      <c r="D62" s="235"/>
      <c r="E62" s="215"/>
      <c r="F62" s="214"/>
      <c r="G62" s="215"/>
      <c r="H62" s="214"/>
      <c r="I62" s="216"/>
      <c r="J62" s="358" t="s">
        <v>13</v>
      </c>
      <c r="K62" s="222"/>
      <c r="L62" s="356"/>
      <c r="M62" s="222"/>
      <c r="N62" s="357"/>
      <c r="O62" s="222" t="str">
        <f>R4</f>
        <v>Rákóczi Andrea</v>
      </c>
      <c r="P62" s="356"/>
      <c r="Q62" s="222"/>
      <c r="R62" s="218">
        <f>MIN(4,'F14 csapat ELO'!Q5)</f>
        <v>4</v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394"/>
      <c r="AJ62" s="394"/>
      <c r="AK62" s="394"/>
      <c r="AL62" s="87"/>
      <c r="AM62" s="87"/>
      <c r="AN62" s="87"/>
      <c r="AO62" s="87"/>
      <c r="AP62" s="87"/>
      <c r="AQ62" s="87"/>
      <c r="AR62" s="87"/>
      <c r="AS62" s="87"/>
    </row>
    <row r="63" spans="1:45" x14ac:dyDescent="0.2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39" priority="17" stopIfTrue="1">
      <formula>AND($E7&lt;9,$C7&gt;0)</formula>
    </cfRule>
  </conditionalFormatting>
  <conditionalFormatting sqref="I23 I43 K33 I31 K41 I51 I39 K49 I47 K10 M29 M45 I27 K25 I35 I8 I12 I16 I20 K18 M14">
    <cfRule type="expression" dxfId="138" priority="14" stopIfTrue="1">
      <formula>AND($O$1="CU",I8="Umpire")</formula>
    </cfRule>
    <cfRule type="expression" dxfId="137" priority="15" stopIfTrue="1">
      <formula>AND($O$1="CU",I8&lt;&gt;"Umpire",J8&lt;&gt;"")</formula>
    </cfRule>
    <cfRule type="expression" dxfId="136" priority="16" stopIfTrue="1">
      <formula>AND($O$1="CU",I8&lt;&gt;"Umpire")</formula>
    </cfRule>
  </conditionalFormatting>
  <conditionalFormatting sqref="E36 E30 E28 E26 E24 E22 E52 E50 E32 E48 E46 E44 E42 E40 E38 E34">
    <cfRule type="expression" dxfId="135" priority="13" stopIfTrue="1">
      <formula>AND($E22&lt;9,$C22&gt;0)</formula>
    </cfRule>
  </conditionalFormatting>
  <conditionalFormatting sqref="F38 F40 F42 F44 F46 F48 F50 F36 F22 F24 F26 F28 F30 F32 F34">
    <cfRule type="cellIs" dxfId="134" priority="11" stopIfTrue="1" operator="equal">
      <formula>"Bye"</formula>
    </cfRule>
    <cfRule type="expression" dxfId="133" priority="12" stopIfTrue="1">
      <formula>AND($E22&lt;9,$C22&gt;0)</formula>
    </cfRule>
  </conditionalFormatting>
  <conditionalFormatting sqref="M10 M18 O45 M41 M49 O14 O29 M25 M33 K8 K12 K16 K20 K39 K43 K47 K51 K23 K27 K31 K35">
    <cfRule type="expression" dxfId="132" priority="9" stopIfTrue="1">
      <formula>J8="as"</formula>
    </cfRule>
    <cfRule type="expression" dxfId="131" priority="10" stopIfTrue="1">
      <formula>J8="bs"</formula>
    </cfRule>
  </conditionalFormatting>
  <conditionalFormatting sqref="B40 B42 B44 B46 B48 B50 B52 B24 B26 B28 B30 B32 B34 B36 B38 B22">
    <cfRule type="cellIs" dxfId="130" priority="7" stopIfTrue="1" operator="equal">
      <formula>"QA"</formula>
    </cfRule>
    <cfRule type="cellIs" dxfId="129" priority="8" stopIfTrue="1" operator="equal">
      <formula>"DA"</formula>
    </cfRule>
  </conditionalFormatting>
  <conditionalFormatting sqref="R62 J8 J12 J16 J20 N14 L10 L18">
    <cfRule type="expression" dxfId="128" priority="6" stopIfTrue="1">
      <formula>$O$1="CU"</formula>
    </cfRule>
  </conditionalFormatting>
  <conditionalFormatting sqref="E21 E7">
    <cfRule type="expression" dxfId="127" priority="5" stopIfTrue="1">
      <formula>$E7&lt;5</formula>
    </cfRule>
  </conditionalFormatting>
  <conditionalFormatting sqref="F19 F21 F9 F17 F15 F13 F11 F7">
    <cfRule type="cellIs" dxfId="126" priority="4" stopIfTrue="1" operator="equal">
      <formula>"Bye"</formula>
    </cfRule>
  </conditionalFormatting>
  <conditionalFormatting sqref="O16">
    <cfRule type="expression" dxfId="125" priority="1" stopIfTrue="1">
      <formula>AND($O$1="CU",O16="Umpire")</formula>
    </cfRule>
    <cfRule type="expression" dxfId="124" priority="2" stopIfTrue="1">
      <formula>AND($O$1="CU",O16&lt;&gt;"Umpire",P16&lt;&gt;"")</formula>
    </cfRule>
    <cfRule type="expression" dxfId="123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T15" sqref="T15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41" customWidth="1"/>
    <col min="5" max="5" width="10.7109375" style="418" customWidth="1"/>
    <col min="6" max="6" width="6.140625" style="94" hidden="1" customWidth="1"/>
    <col min="7" max="7" width="35" style="94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5" thickBot="1" x14ac:dyDescent="0.25">
      <c r="B2" s="90" t="s">
        <v>51</v>
      </c>
      <c r="C2" s="432" t="str">
        <f>Altalanos!$B$8</f>
        <v>F14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5" thickBot="1" x14ac:dyDescent="0.25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5" thickBot="1" x14ac:dyDescent="0.25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25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95" customHeight="1" x14ac:dyDescent="0.2">
      <c r="A7" s="253">
        <v>1</v>
      </c>
      <c r="B7" s="96" t="s">
        <v>96</v>
      </c>
      <c r="C7" s="96"/>
      <c r="D7" s="97"/>
      <c r="E7" s="268"/>
      <c r="F7" s="401"/>
      <c r="G7" s="402"/>
      <c r="H7" s="97"/>
      <c r="I7" s="97"/>
      <c r="J7" s="250"/>
      <c r="K7" s="248"/>
      <c r="L7" s="252"/>
      <c r="M7" s="248"/>
      <c r="N7" s="241"/>
      <c r="O7" s="97">
        <v>39</v>
      </c>
      <c r="P7" s="116"/>
      <c r="Q7" s="98"/>
    </row>
    <row r="8" spans="1:17" s="11" customFormat="1" ht="18.95" customHeight="1" x14ac:dyDescent="0.2">
      <c r="A8" s="253">
        <v>2</v>
      </c>
      <c r="B8" s="96" t="s">
        <v>104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50</v>
      </c>
      <c r="P8" s="116"/>
      <c r="Q8" s="98"/>
    </row>
    <row r="9" spans="1:17" s="11" customFormat="1" ht="18.95" customHeight="1" x14ac:dyDescent="0.2">
      <c r="A9" s="253">
        <v>3</v>
      </c>
      <c r="B9" s="96" t="s">
        <v>105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56</v>
      </c>
      <c r="P9" s="412"/>
      <c r="Q9" s="283"/>
    </row>
    <row r="10" spans="1:17" s="11" customFormat="1" ht="18.95" customHeight="1" x14ac:dyDescent="0.2">
      <c r="A10" s="253">
        <v>4</v>
      </c>
      <c r="B10" s="96" t="s">
        <v>100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81</v>
      </c>
      <c r="P10" s="411"/>
      <c r="Q10" s="408"/>
    </row>
    <row r="11" spans="1:17" s="11" customFormat="1" ht="18.95" customHeight="1" x14ac:dyDescent="0.2">
      <c r="A11" s="253">
        <v>5</v>
      </c>
      <c r="B11" s="96" t="s">
        <v>106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84</v>
      </c>
      <c r="P11" s="411"/>
      <c r="Q11" s="408"/>
    </row>
    <row r="12" spans="1:17" s="11" customFormat="1" ht="18.95" customHeight="1" x14ac:dyDescent="0.2">
      <c r="A12" s="253">
        <v>6</v>
      </c>
      <c r="B12" s="96" t="s">
        <v>107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101</v>
      </c>
      <c r="P12" s="411"/>
      <c r="Q12" s="408"/>
    </row>
    <row r="13" spans="1:17" s="11" customFormat="1" ht="18.95" customHeight="1" x14ac:dyDescent="0.2">
      <c r="A13" s="253">
        <v>7</v>
      </c>
      <c r="B13" s="96" t="s">
        <v>108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161</v>
      </c>
      <c r="P13" s="411"/>
      <c r="Q13" s="408"/>
    </row>
    <row r="14" spans="1:17" s="11" customFormat="1" ht="18.95" customHeight="1" x14ac:dyDescent="0.2">
      <c r="A14" s="253">
        <v>8</v>
      </c>
      <c r="B14" s="96" t="s">
        <v>109</v>
      </c>
      <c r="C14" s="96"/>
      <c r="D14" s="97"/>
      <c r="E14" s="268"/>
      <c r="F14" s="115"/>
      <c r="G14" s="115"/>
      <c r="H14" s="97"/>
      <c r="I14" s="97"/>
      <c r="J14" s="250"/>
      <c r="K14" s="248"/>
      <c r="L14" s="252"/>
      <c r="M14" s="288"/>
      <c r="N14" s="241"/>
      <c r="O14" s="97">
        <v>183</v>
      </c>
      <c r="P14" s="411"/>
      <c r="Q14" s="408"/>
    </row>
    <row r="15" spans="1:17" s="11" customFormat="1" ht="18.95" customHeight="1" x14ac:dyDescent="0.2">
      <c r="A15" s="253">
        <v>9</v>
      </c>
      <c r="B15" s="436" t="s">
        <v>110</v>
      </c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>
        <v>272</v>
      </c>
      <c r="P15" s="98"/>
      <c r="Q15" s="98"/>
    </row>
    <row r="16" spans="1:17" s="11" customFormat="1" ht="18.95" customHeight="1" x14ac:dyDescent="0.2">
      <c r="A16" s="253">
        <v>10</v>
      </c>
      <c r="B16" s="96" t="s">
        <v>111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277</v>
      </c>
      <c r="P16" s="116"/>
      <c r="Q16" s="98"/>
    </row>
    <row r="17" spans="1:17" s="11" customFormat="1" ht="18.95" customHeight="1" x14ac:dyDescent="0.2">
      <c r="A17" s="253">
        <v>11</v>
      </c>
      <c r="B17" s="96" t="s">
        <v>126</v>
      </c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>
        <v>291</v>
      </c>
      <c r="P17" s="116"/>
      <c r="Q17" s="98"/>
    </row>
    <row r="18" spans="1:17" s="11" customFormat="1" ht="18.95" customHeight="1" x14ac:dyDescent="0.2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95" customHeight="1" x14ac:dyDescent="0.2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95" customHeight="1" x14ac:dyDescent="0.2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95" customHeight="1" x14ac:dyDescent="0.2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95" customHeight="1" x14ac:dyDescent="0.2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95" customHeight="1" x14ac:dyDescent="0.2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95" customHeight="1" x14ac:dyDescent="0.2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95" customHeight="1" x14ac:dyDescent="0.2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95" customHeight="1" x14ac:dyDescent="0.2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95" customHeight="1" x14ac:dyDescent="0.2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95" customHeight="1" x14ac:dyDescent="0.2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95" customHeight="1" x14ac:dyDescent="0.2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95" customHeight="1" x14ac:dyDescent="0.2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95" customHeight="1" x14ac:dyDescent="0.2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95" customHeight="1" x14ac:dyDescent="0.2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95" customHeight="1" x14ac:dyDescent="0.2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95" customHeight="1" x14ac:dyDescent="0.2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95" customHeight="1" x14ac:dyDescent="0.2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95" customHeight="1" x14ac:dyDescent="0.2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95" customHeight="1" x14ac:dyDescent="0.2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95" customHeight="1" x14ac:dyDescent="0.2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95" customHeight="1" x14ac:dyDescent="0.2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95" customHeight="1" x14ac:dyDescent="0.2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95" customHeight="1" x14ac:dyDescent="0.2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95" customHeight="1" x14ac:dyDescent="0.2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95" customHeight="1" x14ac:dyDescent="0.2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95" customHeight="1" x14ac:dyDescent="0.2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95" customHeight="1" x14ac:dyDescent="0.2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95" customHeight="1" x14ac:dyDescent="0.2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95" customHeight="1" x14ac:dyDescent="0.2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95" customHeight="1" x14ac:dyDescent="0.2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95" customHeight="1" x14ac:dyDescent="0.2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95" customHeight="1" x14ac:dyDescent="0.2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95" customHeight="1" x14ac:dyDescent="0.2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95" customHeight="1" x14ac:dyDescent="0.2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95" customHeight="1" x14ac:dyDescent="0.2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95" customHeight="1" x14ac:dyDescent="0.2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95" customHeight="1" x14ac:dyDescent="0.2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95" customHeight="1" x14ac:dyDescent="0.2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95" customHeight="1" x14ac:dyDescent="0.2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95" customHeight="1" x14ac:dyDescent="0.2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95" customHeight="1" x14ac:dyDescent="0.2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95" customHeight="1" x14ac:dyDescent="0.2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95" customHeight="1" x14ac:dyDescent="0.2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95" customHeight="1" x14ac:dyDescent="0.2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95" customHeight="1" x14ac:dyDescent="0.2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95" customHeight="1" x14ac:dyDescent="0.2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95" customHeight="1" x14ac:dyDescent="0.2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95" customHeight="1" x14ac:dyDescent="0.2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95" customHeight="1" x14ac:dyDescent="0.2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95" customHeight="1" x14ac:dyDescent="0.2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95" customHeight="1" x14ac:dyDescent="0.2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95" customHeight="1" x14ac:dyDescent="0.2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95" customHeight="1" x14ac:dyDescent="0.2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95" customHeight="1" x14ac:dyDescent="0.2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95" customHeight="1" x14ac:dyDescent="0.2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95" customHeight="1" x14ac:dyDescent="0.2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95" customHeight="1" x14ac:dyDescent="0.2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95" customHeight="1" x14ac:dyDescent="0.2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95" customHeight="1" x14ac:dyDescent="0.2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95" customHeight="1" x14ac:dyDescent="0.2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95" customHeight="1" x14ac:dyDescent="0.2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95" customHeight="1" x14ac:dyDescent="0.2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95" customHeight="1" x14ac:dyDescent="0.2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95" customHeight="1" x14ac:dyDescent="0.2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95" customHeight="1" x14ac:dyDescent="0.2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95" customHeight="1" x14ac:dyDescent="0.2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95" customHeight="1" x14ac:dyDescent="0.2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95" customHeight="1" x14ac:dyDescent="0.2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95" customHeight="1" x14ac:dyDescent="0.2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95" customHeight="1" x14ac:dyDescent="0.2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95" customHeight="1" x14ac:dyDescent="0.2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95" customHeight="1" x14ac:dyDescent="0.2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95" customHeight="1" x14ac:dyDescent="0.2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95" customHeight="1" x14ac:dyDescent="0.2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95" customHeight="1" x14ac:dyDescent="0.2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95" customHeight="1" x14ac:dyDescent="0.2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95" customHeight="1" x14ac:dyDescent="0.2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95" customHeight="1" x14ac:dyDescent="0.2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95" customHeight="1" x14ac:dyDescent="0.2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95" customHeight="1" x14ac:dyDescent="0.2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95" customHeight="1" x14ac:dyDescent="0.2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95" customHeight="1" x14ac:dyDescent="0.2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95" customHeight="1" x14ac:dyDescent="0.2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95" customHeight="1" x14ac:dyDescent="0.2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95" customHeight="1" x14ac:dyDescent="0.2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95" customHeight="1" x14ac:dyDescent="0.2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95" customHeight="1" x14ac:dyDescent="0.2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95" customHeight="1" x14ac:dyDescent="0.2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95" customHeight="1" x14ac:dyDescent="0.2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95" customHeight="1" x14ac:dyDescent="0.2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95" customHeight="1" x14ac:dyDescent="0.2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95" customHeight="1" x14ac:dyDescent="0.2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95" customHeight="1" x14ac:dyDescent="0.2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95" customHeight="1" x14ac:dyDescent="0.2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95" customHeight="1" x14ac:dyDescent="0.2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95" customHeight="1" x14ac:dyDescent="0.2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95" customHeight="1" x14ac:dyDescent="0.2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95" customHeight="1" x14ac:dyDescent="0.2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95" customHeight="1" x14ac:dyDescent="0.2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95" customHeight="1" x14ac:dyDescent="0.2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95" customHeight="1" x14ac:dyDescent="0.2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95" customHeight="1" x14ac:dyDescent="0.2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95" customHeight="1" x14ac:dyDescent="0.2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95" customHeight="1" x14ac:dyDescent="0.2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95" customHeight="1" x14ac:dyDescent="0.2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95" customHeight="1" x14ac:dyDescent="0.2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95" customHeight="1" x14ac:dyDescent="0.2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95" customHeight="1" x14ac:dyDescent="0.2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95" customHeight="1" x14ac:dyDescent="0.2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95" customHeight="1" x14ac:dyDescent="0.2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95" customHeight="1" x14ac:dyDescent="0.2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95" customHeight="1" x14ac:dyDescent="0.2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95" customHeight="1" x14ac:dyDescent="0.2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95" customHeight="1" x14ac:dyDescent="0.2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95" customHeight="1" x14ac:dyDescent="0.2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95" customHeight="1" x14ac:dyDescent="0.2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56">
    <cfRule type="expression" dxfId="122" priority="16" stopIfTrue="1">
      <formula>AND(ROUNDDOWN(($A$4-E7)/365.25,0)&lt;=13,G7&lt;&gt;"OK")</formula>
    </cfRule>
    <cfRule type="expression" dxfId="121" priority="17" stopIfTrue="1">
      <formula>AND(ROUNDDOWN(($A$4-E7)/365.25,0)&lt;=14,G7&lt;&gt;"OK")</formula>
    </cfRule>
    <cfRule type="expression" dxfId="120" priority="18" stopIfTrue="1">
      <formula>AND(ROUNDDOWN(($A$4-E7)/365.25,0)&lt;=17,G7&lt;&gt;"OK")</formula>
    </cfRule>
  </conditionalFormatting>
  <conditionalFormatting sqref="J7:J156">
    <cfRule type="cellIs" dxfId="119" priority="15" stopIfTrue="1" operator="equal">
      <formula>"Z"</formula>
    </cfRule>
  </conditionalFormatting>
  <conditionalFormatting sqref="A7:D156">
    <cfRule type="expression" dxfId="118" priority="14" stopIfTrue="1">
      <formula>$Q7&gt;=1</formula>
    </cfRule>
  </conditionalFormatting>
  <conditionalFormatting sqref="E7:E14">
    <cfRule type="expression" dxfId="117" priority="11" stopIfTrue="1">
      <formula>AND(ROUNDDOWN(($A$4-E7)/365.25,0)&lt;=13,G7&lt;&gt;"OK")</formula>
    </cfRule>
    <cfRule type="expression" dxfId="116" priority="12" stopIfTrue="1">
      <formula>AND(ROUNDDOWN(($A$4-E7)/365.25,0)&lt;=14,G7&lt;&gt;"OK")</formula>
    </cfRule>
    <cfRule type="expression" dxfId="115" priority="13" stopIfTrue="1">
      <formula>AND(ROUNDDOWN(($A$4-E7)/365.25,0)&lt;=17,G7&lt;&gt;"OK")</formula>
    </cfRule>
  </conditionalFormatting>
  <conditionalFormatting sqref="J7:J14">
    <cfRule type="cellIs" dxfId="114" priority="10" stopIfTrue="1" operator="equal">
      <formula>"Z"</formula>
    </cfRule>
  </conditionalFormatting>
  <conditionalFormatting sqref="B7:D14">
    <cfRule type="expression" dxfId="113" priority="9" stopIfTrue="1">
      <formula>$Q7&gt;=1</formula>
    </cfRule>
  </conditionalFormatting>
  <conditionalFormatting sqref="E7:E14">
    <cfRule type="expression" dxfId="112" priority="6" stopIfTrue="1">
      <formula>AND(ROUNDDOWN(($A$4-E7)/365.25,0)&lt;=13,G7&lt;&gt;"OK")</formula>
    </cfRule>
    <cfRule type="expression" dxfId="111" priority="7" stopIfTrue="1">
      <formula>AND(ROUNDDOWN(($A$4-E7)/365.25,0)&lt;=14,G7&lt;&gt;"OK")</formula>
    </cfRule>
    <cfRule type="expression" dxfId="110" priority="8" stopIfTrue="1">
      <formula>AND(ROUNDDOWN(($A$4-E7)/365.25,0)&lt;=17,G7&lt;&gt;"OK")</formula>
    </cfRule>
  </conditionalFormatting>
  <conditionalFormatting sqref="B7:D14">
    <cfRule type="expression" dxfId="109" priority="5" stopIfTrue="1">
      <formula>$Q7&gt;=1</formula>
    </cfRule>
  </conditionalFormatting>
  <conditionalFormatting sqref="E29:E37 E7:E27">
    <cfRule type="expression" dxfId="108" priority="2" stopIfTrue="1">
      <formula>AND(ROUNDDOWN(($A$4-E7)/365.25,0)&lt;=13,G7&lt;&gt;"OK")</formula>
    </cfRule>
    <cfRule type="expression" dxfId="107" priority="3" stopIfTrue="1">
      <formula>AND(ROUNDDOWN(($A$4-E7)/365.25,0)&lt;=14,G7&lt;&gt;"OK")</formula>
    </cfRule>
    <cfRule type="expression" dxfId="106" priority="4" stopIfTrue="1">
      <formula>AND(ROUNDDOWN(($A$4-E7)/365.25,0)&lt;=17,G7&lt;&gt;"OK")</formula>
    </cfRule>
  </conditionalFormatting>
  <conditionalFormatting sqref="B7:D37">
    <cfRule type="expression" dxfId="105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8">
    <tabColor indexed="11"/>
    <pageSetUpPr fitToPage="1"/>
  </sheetPr>
  <dimension ref="A1:AO57"/>
  <sheetViews>
    <sheetView showGridLines="0" showZeros="0" workbookViewId="0">
      <selection activeCell="O27" sqref="O27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7" customWidth="1"/>
    <col min="11" max="11" width="10.7109375" customWidth="1"/>
    <col min="12" max="12" width="1.7109375" style="117" customWidth="1"/>
    <col min="13" max="13" width="10.7109375" customWidth="1"/>
    <col min="14" max="14" width="1.7109375" style="118" customWidth="1"/>
    <col min="15" max="15" width="10.7109375" customWidth="1"/>
    <col min="16" max="16" width="1.7109375" style="117" customWidth="1"/>
    <col min="17" max="17" width="10.7109375" customWidth="1"/>
    <col min="18" max="18" width="1.7109375" style="118" customWidth="1"/>
    <col min="19" max="19" width="9.140625" hidden="1" customWidth="1"/>
    <col min="20" max="20" width="8.7109375" customWidth="1"/>
    <col min="21" max="21" width="9.140625" hidden="1" customWidth="1"/>
    <col min="25" max="34" width="9.140625" hidden="1" customWidth="1"/>
    <col min="35" max="37" width="9.140625" style="374" customWidth="1"/>
  </cols>
  <sheetData>
    <row r="1" spans="1:37" s="119" customFormat="1" ht="21.75" customHeight="1" x14ac:dyDescent="0.2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">
      <c r="A2" s="293" t="s">
        <v>51</v>
      </c>
      <c r="B2" s="90"/>
      <c r="C2" s="90"/>
      <c r="D2" s="90"/>
      <c r="E2" s="287" t="str">
        <f>Altalanos!$B$8</f>
        <v>F14 csapat</v>
      </c>
      <c r="F2" s="90"/>
      <c r="G2" s="122"/>
      <c r="H2" s="100"/>
      <c r="I2" s="100"/>
      <c r="J2" s="123"/>
      <c r="K2" s="107"/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25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25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5" customHeight="1" x14ac:dyDescent="0.2">
      <c r="A7" s="135">
        <v>1</v>
      </c>
      <c r="B7" s="243">
        <f>IF($E7="","",VLOOKUP($E7,'F14 csapat ELO'!$A$7:$O$22,14))</f>
        <v>0</v>
      </c>
      <c r="C7" s="272">
        <f>IF($E7="","",VLOOKUP($E7,'F14 csapat ELO'!$A$7:$O$22,15))</f>
        <v>39</v>
      </c>
      <c r="D7" s="272">
        <f>IF($E7="","",VLOOKUP($E7,'F14 csapat ELO'!$A$7:$O$22,5))</f>
        <v>0</v>
      </c>
      <c r="E7" s="136">
        <v>1</v>
      </c>
      <c r="F7" s="137" t="str">
        <f>UPPER(IF($E7="","",VLOOKUP($E7,'F14 csapat ELO'!$A$7:$O$22,2)))</f>
        <v>PASARÉT TK 1</v>
      </c>
      <c r="G7" s="137">
        <f>IF($E7="","",VLOOKUP($E7,'F14 csapat ELO'!$A$7:$O$22,3))</f>
        <v>0</v>
      </c>
      <c r="H7" s="137"/>
      <c r="I7" s="137">
        <f>IF($E7="","",VLOOKUP($E7,'F14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5" customHeight="1" x14ac:dyDescent="0.2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PASARÉT TK 1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5" customHeight="1" x14ac:dyDescent="0.2">
      <c r="A9" s="147">
        <v>2</v>
      </c>
      <c r="B9" s="243" t="str">
        <f>IF($E9="","",VLOOKUP($E9,'F14 csapat ELO'!$A$7:$O$22,14))</f>
        <v/>
      </c>
      <c r="C9" s="272" t="str">
        <f>IF($E9="","",VLOOKUP($E9,'F14 csapat ELO'!$A$7:$O$22,15))</f>
        <v/>
      </c>
      <c r="D9" s="272" t="str">
        <f>IF($E9="","",VLOOKUP($E9,'F14 csapat ELO'!$A$7:$O$22,5))</f>
        <v/>
      </c>
      <c r="E9" s="136"/>
      <c r="F9" s="155" t="s">
        <v>144</v>
      </c>
      <c r="G9" s="155" t="str">
        <f>IF($E9="","",VLOOKUP($E9,'F14 csapat ELO'!$A$7:$O$22,3))</f>
        <v/>
      </c>
      <c r="H9" s="155"/>
      <c r="I9" s="137" t="str">
        <f>IF($E9="","",VLOOKUP($E9,'F14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5" customHeight="1" x14ac:dyDescent="0.2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127</v>
      </c>
      <c r="M10" s="153" t="str">
        <f>UPPER(IF(OR(L10="a",L10="as"),K8,IF(OR(L10="b",L10="bs"),K12,)))</f>
        <v>PASARÉT TK 1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5" customHeight="1" x14ac:dyDescent="0.2">
      <c r="A11" s="147">
        <v>3</v>
      </c>
      <c r="B11" s="243">
        <f>IF($E11="","",VLOOKUP($E11,'F14 csapat ELO'!$A$7:$O$22,14))</f>
        <v>0</v>
      </c>
      <c r="C11" s="272">
        <f>IF($E11="","",VLOOKUP($E11,'F14 csapat ELO'!$A$7:$O$22,15))</f>
        <v>183</v>
      </c>
      <c r="D11" s="272">
        <f>IF($E11="","",VLOOKUP($E11,'F14 csapat ELO'!$A$7:$O$22,5))</f>
        <v>0</v>
      </c>
      <c r="E11" s="136">
        <v>8</v>
      </c>
      <c r="F11" s="155" t="str">
        <f>UPPER(IF($E11="","",VLOOKUP($E11,'F14 csapat ELO'!$A$7:$O$22,2)))</f>
        <v>PG TENISZ</v>
      </c>
      <c r="G11" s="155">
        <f>IF($E11="","",VLOOKUP($E11,'F14 csapat ELO'!$A$7:$O$22,3))</f>
        <v>0</v>
      </c>
      <c r="H11" s="155"/>
      <c r="I11" s="155">
        <f>IF($E11="","",VLOOKUP($E11,'F14 csapat ELO'!$A$7:$O$22,4))</f>
        <v>0</v>
      </c>
      <c r="J11" s="139"/>
      <c r="K11" s="138"/>
      <c r="L11" s="163"/>
      <c r="M11" s="167" t="s">
        <v>140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5" customHeight="1" x14ac:dyDescent="0.2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130</v>
      </c>
      <c r="K12" s="153" t="str">
        <f>UPPER(IF(OR(J12="a",J12="as"),F11,IF(OR(J12="b",J12="bs"),F13,)))</f>
        <v>M.E.S.E. ZÖLD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5" customHeight="1" x14ac:dyDescent="0.2">
      <c r="A13" s="147">
        <v>4</v>
      </c>
      <c r="B13" s="243">
        <f>IF($E13="","",VLOOKUP($E13,'F14 csapat ELO'!$A$7:$O$22,14))</f>
        <v>0</v>
      </c>
      <c r="C13" s="272">
        <f>IF($E13="","",VLOOKUP($E13,'F14 csapat ELO'!$A$7:$O$22,15))</f>
        <v>161</v>
      </c>
      <c r="D13" s="272">
        <f>IF($E13="","",VLOOKUP($E13,'F14 csapat ELO'!$A$7:$O$22,5))</f>
        <v>0</v>
      </c>
      <c r="E13" s="136">
        <v>7</v>
      </c>
      <c r="F13" s="155" t="str">
        <f>UPPER(IF($E13="","",VLOOKUP($E13,'F14 csapat ELO'!$A$7:$O$22,2)))</f>
        <v>M.E.S.E. ZÖLD</v>
      </c>
      <c r="G13" s="155">
        <f>IF($E13="","",VLOOKUP($E13,'F14 csapat ELO'!$A$7:$O$22,3))</f>
        <v>0</v>
      </c>
      <c r="H13" s="155"/>
      <c r="I13" s="155">
        <f>IF($E13="","",VLOOKUP($E13,'F14 csapat ELO'!$A$7:$O$22,4))</f>
        <v>0</v>
      </c>
      <c r="J13" s="166"/>
      <c r="K13" s="162" t="s">
        <v>133</v>
      </c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5" customHeight="1" x14ac:dyDescent="0.2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145</v>
      </c>
      <c r="O14" s="153" t="str">
        <f>UPPER(IF(OR(N14="a",N14="as"),M10,IF(OR(N14="b",N14="bs"),M18,)))</f>
        <v>PASARÉT TK 1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5" customHeight="1" x14ac:dyDescent="0.2">
      <c r="A15" s="135">
        <v>5</v>
      </c>
      <c r="B15" s="243">
        <f>IF($E15="","",VLOOKUP($E15,'F14 csapat ELO'!$A$7:$O$22,14))</f>
        <v>0</v>
      </c>
      <c r="C15" s="272">
        <f>IF($E15="","",VLOOKUP($E15,'F14 csapat ELO'!$A$7:$O$22,15))</f>
        <v>56</v>
      </c>
      <c r="D15" s="272">
        <f>IF($E15="","",VLOOKUP($E15,'F14 csapat ELO'!$A$7:$O$22,5))</f>
        <v>0</v>
      </c>
      <c r="E15" s="136">
        <v>3</v>
      </c>
      <c r="F15" s="137" t="str">
        <f>UPPER(IF($E15="","",VLOOKUP($E15,'F14 csapat ELO'!$A$7:$O$22,2)))</f>
        <v>OKOS TENISZ SE</v>
      </c>
      <c r="G15" s="137">
        <f>IF($E15="","",VLOOKUP($E15,'F14 csapat ELO'!$A$7:$O$22,3))</f>
        <v>0</v>
      </c>
      <c r="H15" s="137"/>
      <c r="I15" s="137">
        <f>IF($E15="","",VLOOKUP($E15,'F14 csapat ELO'!$A$7:$O$22,4))</f>
        <v>0</v>
      </c>
      <c r="J15" s="168"/>
      <c r="K15" s="138"/>
      <c r="L15" s="138"/>
      <c r="M15" s="138"/>
      <c r="N15" s="164"/>
      <c r="O15" s="439" t="s">
        <v>133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5" customHeight="1" thickBot="1" x14ac:dyDescent="0.25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127</v>
      </c>
      <c r="K16" s="153" t="str">
        <f>UPPER(IF(OR(J16="a",J16="as"),F15,IF(OR(J16="b",J16="bs"),F17,)))</f>
        <v>OKOS TENISZ SE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5" customHeight="1" x14ac:dyDescent="0.2">
      <c r="A17" s="147">
        <v>6</v>
      </c>
      <c r="B17" s="243" t="str">
        <f>IF($E17="","",VLOOKUP($E17,'F14 csapat ELO'!$A$7:$O$22,14))</f>
        <v/>
      </c>
      <c r="C17" s="272" t="str">
        <f>IF($E17="","",VLOOKUP($E17,'F14 csapat ELO'!$A$7:$O$22,15))</f>
        <v/>
      </c>
      <c r="D17" s="272" t="str">
        <f>IF($E17="","",VLOOKUP($E17,'F14 csapat ELO'!$A$7:$O$22,5))</f>
        <v/>
      </c>
      <c r="E17" s="136"/>
      <c r="F17" s="155" t="s">
        <v>144</v>
      </c>
      <c r="G17" s="155" t="str">
        <f>IF($E17="","",VLOOKUP($E17,'F14 csapat ELO'!$A$7:$O$22,3))</f>
        <v/>
      </c>
      <c r="H17" s="155"/>
      <c r="I17" s="155" t="str">
        <f>IF($E17="","",VLOOKUP($E17,'F14 csapat ELO'!$A$7:$O$22,4))</f>
        <v/>
      </c>
      <c r="J17" s="156"/>
      <c r="K17" s="138"/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5" customHeight="1" x14ac:dyDescent="0.2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127</v>
      </c>
      <c r="M18" s="153" t="str">
        <f>UPPER(IF(OR(L18="a",L18="as"),K16,IF(OR(L18="b",L18="bs"),K20,)))</f>
        <v>OKOS TENISZ SE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5" customHeight="1" x14ac:dyDescent="0.2">
      <c r="A19" s="147">
        <v>7</v>
      </c>
      <c r="B19" s="243">
        <f>IF($E19="","",VLOOKUP($E19,'F14 csapat ELO'!$A$7:$O$22,14))</f>
        <v>0</v>
      </c>
      <c r="C19" s="272">
        <f>IF($E19="","",VLOOKUP($E19,'F14 csapat ELO'!$A$7:$O$22,15))</f>
        <v>101</v>
      </c>
      <c r="D19" s="272">
        <f>IF($E19="","",VLOOKUP($E19,'F14 csapat ELO'!$A$7:$O$22,5))</f>
        <v>0</v>
      </c>
      <c r="E19" s="136">
        <v>6</v>
      </c>
      <c r="F19" s="155" t="s">
        <v>137</v>
      </c>
      <c r="G19" s="155">
        <f>IF($E19="","",VLOOKUP($E19,'F14 csapat ELO'!$A$7:$O$22,3))</f>
        <v>0</v>
      </c>
      <c r="H19" s="155"/>
      <c r="I19" s="155">
        <f>IF($E19="","",VLOOKUP($E19,'F14 csapat ELO'!$A$7:$O$22,4))</f>
        <v>0</v>
      </c>
      <c r="J19" s="139"/>
      <c r="K19" s="138"/>
      <c r="L19" s="163"/>
      <c r="M19" s="439" t="s">
        <v>133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5" customHeight="1" x14ac:dyDescent="0.2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130</v>
      </c>
      <c r="K20" s="153" t="str">
        <f>UPPER(IF(OR(J20="a",J20="as"),F19,IF(OR(J20="b",J20="bs"),F21,)))</f>
        <v>M.E.S.E. KÉK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5" customHeight="1" x14ac:dyDescent="0.2">
      <c r="A21" s="147">
        <v>8</v>
      </c>
      <c r="B21" s="243">
        <f>IF($E21="","",VLOOKUP($E21,'F14 csapat ELO'!$A$7:$O$22,14))</f>
        <v>0</v>
      </c>
      <c r="C21" s="272">
        <f>IF($E21="","",VLOOKUP($E21,'F14 csapat ELO'!$A$7:$O$22,15))</f>
        <v>84</v>
      </c>
      <c r="D21" s="272">
        <f>IF($E21="","",VLOOKUP($E21,'F14 csapat ELO'!$A$7:$O$22,5))</f>
        <v>0</v>
      </c>
      <c r="E21" s="136">
        <v>5</v>
      </c>
      <c r="F21" s="155" t="str">
        <f>UPPER(IF($E21="","",VLOOKUP($E21,'F14 csapat ELO'!$A$7:$O$22,2)))</f>
        <v>M.E.S.E. KÉK</v>
      </c>
      <c r="G21" s="155">
        <f>IF($E21="","",VLOOKUP($E21,'F14 csapat ELO'!$A$7:$O$22,3))</f>
        <v>0</v>
      </c>
      <c r="H21" s="155"/>
      <c r="I21" s="155">
        <f>IF($E21="","",VLOOKUP($E21,'F14 csapat ELO'!$A$7:$O$22,4))</f>
        <v>0</v>
      </c>
      <c r="J21" s="166"/>
      <c r="K21" s="138" t="s">
        <v>140</v>
      </c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5" customHeight="1" x14ac:dyDescent="0.2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145</v>
      </c>
      <c r="Q22" s="153" t="str">
        <f>UPPER(IF(OR(P22="a",P22="as"),O14,IF(OR(P22="b",P22="bs"),O30,)))</f>
        <v>PASARÉT TK 1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5" customHeight="1" x14ac:dyDescent="0.2">
      <c r="A23" s="147">
        <v>9</v>
      </c>
      <c r="B23" s="243">
        <f>IF($E23="","",VLOOKUP($E23,'F14 csapat ELO'!$A$7:$O$22,14))</f>
        <v>0</v>
      </c>
      <c r="C23" s="272">
        <f>IF($E23="","",VLOOKUP($E23,'F14 csapat ELO'!$A$7:$O$22,15))</f>
        <v>291</v>
      </c>
      <c r="D23" s="272">
        <f>IF($E23="","",VLOOKUP($E23,'F14 csapat ELO'!$A$7:$O$22,5))</f>
        <v>0</v>
      </c>
      <c r="E23" s="136">
        <v>11</v>
      </c>
      <c r="F23" s="155" t="str">
        <f>UPPER(IF($E23="","",VLOOKUP($E23,'F14 csapat ELO'!$A$7:$O$22,2)))</f>
        <v xml:space="preserve">MTK </v>
      </c>
      <c r="G23" s="155">
        <f>IF($E23="","",VLOOKUP($E23,'F14 csapat ELO'!$A$7:$O$22,3))</f>
        <v>0</v>
      </c>
      <c r="H23" s="155"/>
      <c r="I23" s="155">
        <f>IF($E23="","",VLOOKUP($E23,'F14 csapat ELO'!$A$7:$O$22,4))</f>
        <v>0</v>
      </c>
      <c r="J23" s="139"/>
      <c r="K23" s="138"/>
      <c r="L23" s="138"/>
      <c r="M23" s="138"/>
      <c r="N23" s="162"/>
      <c r="O23" s="138"/>
      <c r="P23" s="164"/>
      <c r="Q23" s="439" t="s">
        <v>146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5" customHeight="1" x14ac:dyDescent="0.2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130</v>
      </c>
      <c r="K24" s="153" t="str">
        <f>UPPER(IF(OR(J24="a",J24="as"),F23,IF(OR(J24="b",J24="bs"),F25,)))</f>
        <v>GOLDEN ACE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5" customHeight="1" x14ac:dyDescent="0.2">
      <c r="A25" s="147">
        <v>10</v>
      </c>
      <c r="B25" s="243">
        <f>IF($E25="","",VLOOKUP($E25,'F14 csapat ELO'!$A$7:$O$22,14))</f>
        <v>0</v>
      </c>
      <c r="C25" s="272">
        <f>IF($E25="","",VLOOKUP($E25,'F14 csapat ELO'!$A$7:$O$22,15))</f>
        <v>272</v>
      </c>
      <c r="D25" s="272">
        <f>IF($E25="","",VLOOKUP($E25,'F14 csapat ELO'!$A$7:$O$22,5))</f>
        <v>0</v>
      </c>
      <c r="E25" s="136">
        <v>9</v>
      </c>
      <c r="F25" s="155" t="str">
        <f>UPPER(IF($E25="","",VLOOKUP($E25,'F14 csapat ELO'!$A$7:$O$22,2)))</f>
        <v>GOLDEN ACE</v>
      </c>
      <c r="G25" s="155">
        <f>IF($E25="","",VLOOKUP($E25,'F14 csapat ELO'!$A$7:$O$22,3))</f>
        <v>0</v>
      </c>
      <c r="H25" s="155"/>
      <c r="I25" s="155">
        <f>IF($E25="","",VLOOKUP($E25,'F14 csapat ELO'!$A$7:$O$22,4))</f>
        <v>0</v>
      </c>
      <c r="J25" s="156"/>
      <c r="K25" s="162" t="s">
        <v>133</v>
      </c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5" customHeight="1" x14ac:dyDescent="0.2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128</v>
      </c>
      <c r="M26" s="153" t="str">
        <f>UPPER(IF(OR(L26="a",L26="as"),K24,IF(OR(L26="b",L26="bs"),K28,)))</f>
        <v>VASAS SC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5" customHeight="1" x14ac:dyDescent="0.2">
      <c r="A27" s="147">
        <v>11</v>
      </c>
      <c r="B27" s="243" t="str">
        <f>IF($E27="","",VLOOKUP($E27,'F14 csapat ELO'!$A$7:$O$22,14))</f>
        <v/>
      </c>
      <c r="C27" s="272" t="str">
        <f>IF($E27="","",VLOOKUP($E27,'F14 csapat ELO'!$A$7:$O$22,15))</f>
        <v/>
      </c>
      <c r="D27" s="272" t="str">
        <f>IF($E27="","",VLOOKUP($E27,'F14 csapat ELO'!$A$7:$O$22,5))</f>
        <v/>
      </c>
      <c r="E27" s="136"/>
      <c r="F27" s="155" t="str">
        <f>UPPER(IF($E27="","",VLOOKUP($E27,'F14 csapat ELO'!$A$7:$O$22,2)))</f>
        <v/>
      </c>
      <c r="G27" s="155" t="str">
        <f>IF($E27="","",VLOOKUP($E27,'F14 csapat ELO'!$A$7:$O$22,3))</f>
        <v/>
      </c>
      <c r="H27" s="155"/>
      <c r="I27" s="155" t="str">
        <f>IF($E27="","",VLOOKUP($E27,'F14 csapat ELO'!$A$7:$O$22,4))</f>
        <v/>
      </c>
      <c r="J27" s="139"/>
      <c r="K27" s="138"/>
      <c r="L27" s="163"/>
      <c r="M27" s="439" t="s">
        <v>133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5" customHeight="1" x14ac:dyDescent="0.2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128</v>
      </c>
      <c r="K28" s="153" t="str">
        <f>UPPER(IF(OR(J28="a",J28="as"),F27,IF(OR(J28="b",J28="bs"),F29,)))</f>
        <v>VASAS SC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5" customHeight="1" x14ac:dyDescent="0.2">
      <c r="A29" s="135">
        <v>12</v>
      </c>
      <c r="B29" s="243">
        <f>IF($E29="","",VLOOKUP($E29,'F14 csapat ELO'!$A$7:$O$22,14))</f>
        <v>0</v>
      </c>
      <c r="C29" s="272">
        <f>IF($E29="","",VLOOKUP($E29,'F14 csapat ELO'!$A$7:$O$22,15))</f>
        <v>81</v>
      </c>
      <c r="D29" s="272">
        <f>IF($E29="","",VLOOKUP($E29,'F14 csapat ELO'!$A$7:$O$22,5))</f>
        <v>0</v>
      </c>
      <c r="E29" s="136">
        <v>4</v>
      </c>
      <c r="F29" s="137" t="str">
        <f>UPPER(IF($E29="","",VLOOKUP($E29,'F14 csapat ELO'!$A$7:$O$22,2)))</f>
        <v>VASAS SC</v>
      </c>
      <c r="G29" s="137">
        <f>IF($E29="","",VLOOKUP($E29,'F14 csapat ELO'!$A$7:$O$22,3))</f>
        <v>0</v>
      </c>
      <c r="H29" s="137"/>
      <c r="I29" s="137">
        <f>IF($E29="","",VLOOKUP($E29,'F14 csapat ELO'!$A$7:$O$22,4))</f>
        <v>0</v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5" customHeight="1" x14ac:dyDescent="0.2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143</v>
      </c>
      <c r="O30" s="153" t="str">
        <f>UPPER(IF(OR(N30="a",N30="as"),M26,IF(OR(N30="b",N30="bs"),M34,)))</f>
        <v>TENISZ MÚHELY 2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5" customHeight="1" x14ac:dyDescent="0.2">
      <c r="A31" s="147">
        <v>13</v>
      </c>
      <c r="B31" s="243" t="str">
        <f>IF($E31="","",VLOOKUP($E31,'F14 csapat ELO'!$A$7:$O$22,14))</f>
        <v/>
      </c>
      <c r="C31" s="272" t="str">
        <f>IF($E31="","",VLOOKUP($E31,'F14 csapat ELO'!$A$7:$O$22,15))</f>
        <v/>
      </c>
      <c r="D31" s="272" t="str">
        <f>IF($E31="","",VLOOKUP($E31,'F14 csapat ELO'!$A$7:$O$22,5))</f>
        <v/>
      </c>
      <c r="E31" s="136"/>
      <c r="F31" s="155" t="s">
        <v>144</v>
      </c>
      <c r="G31" s="155" t="str">
        <f>IF($E31="","",VLOOKUP($E31,'F14 csapat ELO'!$A$7:$O$22,3))</f>
        <v/>
      </c>
      <c r="H31" s="155"/>
      <c r="I31" s="155" t="str">
        <f>IF($E31="","",VLOOKUP($E31,'F14 csapat ELO'!$A$7:$O$22,4))</f>
        <v/>
      </c>
      <c r="J31" s="168"/>
      <c r="K31" s="138"/>
      <c r="L31" s="138"/>
      <c r="M31" s="138"/>
      <c r="N31" s="164"/>
      <c r="O31" s="167" t="s">
        <v>134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5" customHeight="1" x14ac:dyDescent="0.2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130</v>
      </c>
      <c r="K32" s="153" t="str">
        <f>UPPER(IF(OR(J32="a",J32="as"),F31,IF(OR(J32="b",J32="bs"),F33,)))</f>
        <v>BEBTO T.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5" customHeight="1" x14ac:dyDescent="0.2">
      <c r="A33" s="147">
        <v>14</v>
      </c>
      <c r="B33" s="243">
        <f>IF($E33="","",VLOOKUP($E33,'F14 csapat ELO'!$A$7:$O$22,14))</f>
        <v>0</v>
      </c>
      <c r="C33" s="272">
        <f>IF($E33="","",VLOOKUP($E33,'F14 csapat ELO'!$A$7:$O$22,15))</f>
        <v>277</v>
      </c>
      <c r="D33" s="272">
        <f>IF($E33="","",VLOOKUP($E33,'F14 csapat ELO'!$A$7:$O$22,5))</f>
        <v>0</v>
      </c>
      <c r="E33" s="136">
        <v>10</v>
      </c>
      <c r="F33" s="155" t="str">
        <f>UPPER(IF($E33="","",VLOOKUP($E33,'F14 csapat ELO'!$A$7:$O$22,2)))</f>
        <v>BEBTO T.</v>
      </c>
      <c r="G33" s="155">
        <f>IF($E33="","",VLOOKUP($E33,'F14 csapat ELO'!$A$7:$O$22,3))</f>
        <v>0</v>
      </c>
      <c r="H33" s="155"/>
      <c r="I33" s="155">
        <f>IF($E33="","",VLOOKUP($E33,'F14 csapat ELO'!$A$7:$O$22,4))</f>
        <v>0</v>
      </c>
      <c r="J33" s="156"/>
      <c r="K33" s="138"/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5" customHeight="1" x14ac:dyDescent="0.2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TENISZ MÚHELY 2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5" customHeight="1" x14ac:dyDescent="0.2">
      <c r="A35" s="147">
        <v>15</v>
      </c>
      <c r="B35" s="243" t="str">
        <f>IF($E35="","",VLOOKUP($E35,'F14 csapat ELO'!$A$7:$O$22,14))</f>
        <v/>
      </c>
      <c r="C35" s="272" t="str">
        <f>IF($E35="","",VLOOKUP($E35,'F14 csapat ELO'!$A$7:$O$22,15))</f>
        <v/>
      </c>
      <c r="D35" s="272" t="str">
        <f>IF($E35="","",VLOOKUP($E35,'F14 csapat ELO'!$A$7:$O$22,5))</f>
        <v/>
      </c>
      <c r="E35" s="136"/>
      <c r="F35" s="155" t="s">
        <v>144</v>
      </c>
      <c r="G35" s="155" t="str">
        <f>IF($E35="","",VLOOKUP($E35,'F14 csapat ELO'!$A$7:$O$22,3))</f>
        <v/>
      </c>
      <c r="H35" s="155"/>
      <c r="I35" s="155" t="str">
        <f>IF($E35="","",VLOOKUP($E35,'F14 csapat ELO'!$A$7:$O$22,4))</f>
        <v/>
      </c>
      <c r="J35" s="139"/>
      <c r="K35" s="138"/>
      <c r="L35" s="163"/>
      <c r="M35" s="167" t="s">
        <v>140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5" customHeight="1" x14ac:dyDescent="0.2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TENISZ MÚHELY 2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5" customHeight="1" x14ac:dyDescent="0.2">
      <c r="A37" s="135">
        <v>16</v>
      </c>
      <c r="B37" s="243">
        <f>IF($E37="","",VLOOKUP($E37,'F14 csapat ELO'!$A$7:$O$22,14))</f>
        <v>0</v>
      </c>
      <c r="C37" s="272">
        <f>IF($E37="","",VLOOKUP($E37,'F14 csapat ELO'!$A$7:$O$22,15))</f>
        <v>50</v>
      </c>
      <c r="D37" s="272">
        <f>IF($E37="","",VLOOKUP($E37,'F14 csapat ELO'!$A$7:$O$22,5))</f>
        <v>0</v>
      </c>
      <c r="E37" s="136">
        <v>2</v>
      </c>
      <c r="F37" s="137" t="str">
        <f>UPPER(IF($E37="","",VLOOKUP($E37,'F14 csapat ELO'!$A$7:$O$22,2)))</f>
        <v>TENISZ MÚHELY 2</v>
      </c>
      <c r="G37" s="137">
        <f>IF($E37="","",VLOOKUP($E37,'F14 csapat ELO'!$A$7:$O$22,3))</f>
        <v>0</v>
      </c>
      <c r="H37" s="155"/>
      <c r="I37" s="137">
        <f>IF($E37="","",VLOOKUP($E37,'F14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IF(E50&gt;$R$57,,UPPER(VLOOKUP(E50,'F14 csapat ELO'!$A$7:$Q$134,2)))</f>
        <v>PASARÉT TK 1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IF(E51&gt;$R$57,,UPPER(VLOOKUP(E51,'F14 csapat ELO'!$A$7:$Q$134,2)))</f>
        <v>TENISZ MÚHELY 2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">
      <c r="A52" s="236"/>
      <c r="B52" s="237"/>
      <c r="C52" s="274"/>
      <c r="D52" s="238"/>
      <c r="E52" s="197">
        <v>3</v>
      </c>
      <c r="F52" s="87" t="str">
        <f>IF(E52&gt;$R$57,,UPPER(VLOOKUP(E52,'F14 csapat ELO'!$A$7:$Q$134,2)))</f>
        <v>OKOS TENISZ SE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">
      <c r="A53" s="211"/>
      <c r="B53" s="269"/>
      <c r="C53" s="269"/>
      <c r="D53" s="212"/>
      <c r="E53" s="197">
        <v>4</v>
      </c>
      <c r="F53" s="87" t="str">
        <f>IF(E53&gt;$R$57,,UPPER(VLOOKUP(E53,'F14 csapat ELO'!$A$7:$Q$134,2)))</f>
        <v>VASAS SC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MIN(4,'F14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104" priority="14" stopIfTrue="1">
      <formula>AND($E7&lt;9,$C7&gt;0)</formula>
    </cfRule>
  </conditionalFormatting>
  <conditionalFormatting sqref="I32 I46 I36 K44 I42 K10 M14 K18 K26 K34 M30 M40 O22 I8 I12 I16 I20 I24 I28">
    <cfRule type="expression" dxfId="103" priority="11" stopIfTrue="1">
      <formula>AND($O$1="CU",I8="Umpire")</formula>
    </cfRule>
    <cfRule type="expression" dxfId="102" priority="12" stopIfTrue="1">
      <formula>AND($O$1="CU",I8&lt;&gt;"Umpire",J8&lt;&gt;"")</formula>
    </cfRule>
    <cfRule type="expression" dxfId="101" priority="13" stopIfTrue="1">
      <formula>AND($O$1="CU",I8&lt;&gt;"Umpire")</formula>
    </cfRule>
  </conditionalFormatting>
  <conditionalFormatting sqref="E39 E47 E45 E43 E41">
    <cfRule type="expression" dxfId="100" priority="10" stopIfTrue="1">
      <formula>AND($E39&lt;9,$C39&gt;0)</formula>
    </cfRule>
  </conditionalFormatting>
  <conditionalFormatting sqref="F41 F43 F45 F47 F39">
    <cfRule type="cellIs" dxfId="99" priority="8" stopIfTrue="1" operator="equal">
      <formula>"Bye"</formula>
    </cfRule>
    <cfRule type="expression" dxfId="98" priority="9" stopIfTrue="1">
      <formula>AND($E39&lt;9,$C39&gt;0)</formula>
    </cfRule>
  </conditionalFormatting>
  <conditionalFormatting sqref="M10 M18 M26 M34 O30 O40 M44 O14 Q22 K8 K12 K16 K20 K24 K28 K32 K36 K42 K46">
    <cfRule type="expression" dxfId="97" priority="6" stopIfTrue="1">
      <formula>J8="as"</formula>
    </cfRule>
    <cfRule type="expression" dxfId="96" priority="7" stopIfTrue="1">
      <formula>J8="bs"</formula>
    </cfRule>
  </conditionalFormatting>
  <conditionalFormatting sqref="B41 B43 B45 B47 B39">
    <cfRule type="cellIs" dxfId="95" priority="4" stopIfTrue="1" operator="equal">
      <formula>"QA"</formula>
    </cfRule>
    <cfRule type="cellIs" dxfId="94" priority="5" stopIfTrue="1" operator="equal">
      <formula>"DA"</formula>
    </cfRule>
  </conditionalFormatting>
  <conditionalFormatting sqref="R57 J8 J12 J16 J20 J24 J28 J32 J36 N30 N14 L10 L34 L18 L26 P22">
    <cfRule type="expression" dxfId="93" priority="3" stopIfTrue="1">
      <formula>$O$1="CU"</formula>
    </cfRule>
  </conditionalFormatting>
  <conditionalFormatting sqref="E9 E7 E11 E13 E15 E17 E19 E21 E23 E25 E27 E29 E31 E33 E35 E37">
    <cfRule type="expression" dxfId="92" priority="2" stopIfTrue="1">
      <formula>$E7&lt;5</formula>
    </cfRule>
  </conditionalFormatting>
  <conditionalFormatting sqref="F35 F37 F25 F33 F31 F29 F27 F23 F19 F21 F9 F17 F15 F13 F11 F7">
    <cfRule type="cellIs" dxfId="91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V17" sqref="V17"/>
    </sheetView>
  </sheetViews>
  <sheetFormatPr defaultRowHeight="12.75" x14ac:dyDescent="0.2"/>
  <cols>
    <col min="1" max="1" width="3.85546875" customWidth="1"/>
    <col min="2" max="2" width="16.5703125" customWidth="1"/>
    <col min="3" max="3" width="14" customWidth="1"/>
    <col min="4" max="4" width="13.85546875" style="41" customWidth="1"/>
    <col min="5" max="5" width="12.140625" style="418" customWidth="1"/>
    <col min="6" max="6" width="6.140625" style="94" hidden="1" customWidth="1"/>
    <col min="7" max="7" width="29.85546875" style="94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5" thickBot="1" x14ac:dyDescent="0.25">
      <c r="B2" s="90" t="s">
        <v>51</v>
      </c>
      <c r="C2" s="432" t="str">
        <f>Altalanos!$C$8</f>
        <v>F16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5" thickBot="1" x14ac:dyDescent="0.25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5" thickBot="1" x14ac:dyDescent="0.25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25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95" customHeight="1" x14ac:dyDescent="0.2">
      <c r="A7" s="253">
        <v>1</v>
      </c>
      <c r="B7" s="96" t="s">
        <v>112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17</v>
      </c>
      <c r="P7" s="116"/>
      <c r="Q7" s="98"/>
    </row>
    <row r="8" spans="1:17" s="11" customFormat="1" ht="18.95" customHeight="1" x14ac:dyDescent="0.2">
      <c r="A8" s="253">
        <v>2</v>
      </c>
      <c r="B8" s="96" t="s">
        <v>113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29</v>
      </c>
      <c r="P8" s="116"/>
      <c r="Q8" s="98"/>
    </row>
    <row r="9" spans="1:17" s="11" customFormat="1" ht="18.95" customHeight="1" x14ac:dyDescent="0.2">
      <c r="A9" s="253">
        <v>3</v>
      </c>
      <c r="B9" s="96" t="s">
        <v>96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30</v>
      </c>
      <c r="P9" s="412"/>
      <c r="Q9" s="283"/>
    </row>
    <row r="10" spans="1:17" s="11" customFormat="1" ht="18.95" customHeight="1" x14ac:dyDescent="0.2">
      <c r="A10" s="253">
        <v>4</v>
      </c>
      <c r="B10" s="96" t="s">
        <v>115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36</v>
      </c>
      <c r="P10" s="411"/>
      <c r="Q10" s="408"/>
    </row>
    <row r="11" spans="1:17" s="11" customFormat="1" ht="18.95" customHeight="1" x14ac:dyDescent="0.2">
      <c r="A11" s="253">
        <v>5</v>
      </c>
      <c r="B11" s="96" t="s">
        <v>114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47</v>
      </c>
      <c r="P11" s="411"/>
      <c r="Q11" s="408"/>
    </row>
    <row r="12" spans="1:17" s="11" customFormat="1" ht="18.95" customHeight="1" x14ac:dyDescent="0.2">
      <c r="A12" s="253">
        <v>6</v>
      </c>
      <c r="B12" s="96" t="s">
        <v>120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60</v>
      </c>
      <c r="P12" s="411"/>
      <c r="Q12" s="408"/>
    </row>
    <row r="13" spans="1:17" s="11" customFormat="1" ht="18.95" customHeight="1" x14ac:dyDescent="0.2">
      <c r="A13" s="253">
        <v>7</v>
      </c>
      <c r="B13" s="96" t="s">
        <v>97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64</v>
      </c>
      <c r="P13" s="411"/>
      <c r="Q13" s="408"/>
    </row>
    <row r="14" spans="1:17" s="11" customFormat="1" ht="18.95" customHeight="1" x14ac:dyDescent="0.2">
      <c r="A14" s="253">
        <v>8</v>
      </c>
      <c r="B14" s="96" t="s">
        <v>101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159</v>
      </c>
      <c r="P14" s="411"/>
      <c r="Q14" s="408"/>
    </row>
    <row r="15" spans="1:17" s="11" customFormat="1" ht="18.95" customHeight="1" x14ac:dyDescent="0.2">
      <c r="A15" s="253">
        <v>9</v>
      </c>
      <c r="B15" s="96" t="s">
        <v>121</v>
      </c>
      <c r="C15" s="96"/>
      <c r="D15" s="97"/>
      <c r="E15" s="268"/>
      <c r="F15" s="401"/>
      <c r="G15" s="402"/>
      <c r="H15" s="97"/>
      <c r="I15" s="97"/>
      <c r="J15" s="250"/>
      <c r="K15" s="248"/>
      <c r="L15" s="252"/>
      <c r="M15" s="248"/>
      <c r="N15" s="241"/>
      <c r="O15" s="97">
        <v>190</v>
      </c>
      <c r="P15" s="98"/>
      <c r="Q15" s="98"/>
    </row>
    <row r="16" spans="1:17" s="11" customFormat="1" ht="18.95" customHeight="1" x14ac:dyDescent="0.2">
      <c r="A16" s="253">
        <v>10</v>
      </c>
      <c r="B16" s="96" t="s">
        <v>117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305</v>
      </c>
      <c r="P16" s="116"/>
      <c r="Q16" s="98"/>
    </row>
    <row r="17" spans="1:17" s="11" customFormat="1" ht="18.95" customHeight="1" x14ac:dyDescent="0.2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95" customHeight="1" x14ac:dyDescent="0.2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95" customHeight="1" x14ac:dyDescent="0.2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95" customHeight="1" x14ac:dyDescent="0.2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95" customHeight="1" x14ac:dyDescent="0.2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95" customHeight="1" x14ac:dyDescent="0.2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95" customHeight="1" x14ac:dyDescent="0.2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95" customHeight="1" x14ac:dyDescent="0.2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95" customHeight="1" x14ac:dyDescent="0.2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95" customHeight="1" x14ac:dyDescent="0.2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95" customHeight="1" x14ac:dyDescent="0.2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95" customHeight="1" x14ac:dyDescent="0.2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95" customHeight="1" x14ac:dyDescent="0.2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95" customHeight="1" x14ac:dyDescent="0.2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95" customHeight="1" x14ac:dyDescent="0.2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95" customHeight="1" x14ac:dyDescent="0.2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95" customHeight="1" x14ac:dyDescent="0.2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95" customHeight="1" x14ac:dyDescent="0.2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95" customHeight="1" x14ac:dyDescent="0.2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95" customHeight="1" x14ac:dyDescent="0.2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95" customHeight="1" x14ac:dyDescent="0.2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95" customHeight="1" x14ac:dyDescent="0.2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95" customHeight="1" x14ac:dyDescent="0.2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95" customHeight="1" x14ac:dyDescent="0.2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95" customHeight="1" x14ac:dyDescent="0.2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95" customHeight="1" x14ac:dyDescent="0.2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95" customHeight="1" x14ac:dyDescent="0.2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95" customHeight="1" x14ac:dyDescent="0.2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95" customHeight="1" x14ac:dyDescent="0.2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95" customHeight="1" x14ac:dyDescent="0.2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95" customHeight="1" x14ac:dyDescent="0.2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95" customHeight="1" x14ac:dyDescent="0.2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95" customHeight="1" x14ac:dyDescent="0.2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95" customHeight="1" x14ac:dyDescent="0.2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95" customHeight="1" x14ac:dyDescent="0.2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95" customHeight="1" x14ac:dyDescent="0.2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95" customHeight="1" x14ac:dyDescent="0.2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95" customHeight="1" x14ac:dyDescent="0.2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95" customHeight="1" x14ac:dyDescent="0.2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95" customHeight="1" x14ac:dyDescent="0.2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95" customHeight="1" x14ac:dyDescent="0.2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95" customHeight="1" x14ac:dyDescent="0.2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95" customHeight="1" x14ac:dyDescent="0.2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95" customHeight="1" x14ac:dyDescent="0.2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95" customHeight="1" x14ac:dyDescent="0.2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95" customHeight="1" x14ac:dyDescent="0.2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95" customHeight="1" x14ac:dyDescent="0.2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95" customHeight="1" x14ac:dyDescent="0.2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95" customHeight="1" x14ac:dyDescent="0.2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95" customHeight="1" x14ac:dyDescent="0.2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95" customHeight="1" x14ac:dyDescent="0.2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95" customHeight="1" x14ac:dyDescent="0.2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95" customHeight="1" x14ac:dyDescent="0.2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95" customHeight="1" x14ac:dyDescent="0.2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95" customHeight="1" x14ac:dyDescent="0.2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95" customHeight="1" x14ac:dyDescent="0.2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95" customHeight="1" x14ac:dyDescent="0.2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95" customHeight="1" x14ac:dyDescent="0.2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95" customHeight="1" x14ac:dyDescent="0.2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95" customHeight="1" x14ac:dyDescent="0.2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95" customHeight="1" x14ac:dyDescent="0.2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95" customHeight="1" x14ac:dyDescent="0.2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95" customHeight="1" x14ac:dyDescent="0.2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95" customHeight="1" x14ac:dyDescent="0.2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95" customHeight="1" x14ac:dyDescent="0.2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95" customHeight="1" x14ac:dyDescent="0.2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95" customHeight="1" x14ac:dyDescent="0.2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95" customHeight="1" x14ac:dyDescent="0.2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95" customHeight="1" x14ac:dyDescent="0.2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95" customHeight="1" x14ac:dyDescent="0.2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95" customHeight="1" x14ac:dyDescent="0.2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95" customHeight="1" x14ac:dyDescent="0.2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95" customHeight="1" x14ac:dyDescent="0.2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95" customHeight="1" x14ac:dyDescent="0.2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95" customHeight="1" x14ac:dyDescent="0.2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95" customHeight="1" x14ac:dyDescent="0.2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95" customHeight="1" x14ac:dyDescent="0.2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95" customHeight="1" x14ac:dyDescent="0.2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95" customHeight="1" x14ac:dyDescent="0.2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95" customHeight="1" x14ac:dyDescent="0.2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95" customHeight="1" x14ac:dyDescent="0.2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95" customHeight="1" x14ac:dyDescent="0.2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95" customHeight="1" x14ac:dyDescent="0.2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95" customHeight="1" x14ac:dyDescent="0.2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95" customHeight="1" x14ac:dyDescent="0.2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95" customHeight="1" x14ac:dyDescent="0.2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95" customHeight="1" x14ac:dyDescent="0.2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95" customHeight="1" x14ac:dyDescent="0.2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95" customHeight="1" x14ac:dyDescent="0.2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95" customHeight="1" x14ac:dyDescent="0.2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95" customHeight="1" x14ac:dyDescent="0.2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95" customHeight="1" x14ac:dyDescent="0.2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95" customHeight="1" x14ac:dyDescent="0.2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95" customHeight="1" x14ac:dyDescent="0.2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95" customHeight="1" x14ac:dyDescent="0.2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95" customHeight="1" x14ac:dyDescent="0.2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95" customHeight="1" x14ac:dyDescent="0.2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95" customHeight="1" x14ac:dyDescent="0.2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95" customHeight="1" x14ac:dyDescent="0.2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95" customHeight="1" x14ac:dyDescent="0.2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95" customHeight="1" x14ac:dyDescent="0.2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95" customHeight="1" x14ac:dyDescent="0.2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95" customHeight="1" x14ac:dyDescent="0.2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95" customHeight="1" x14ac:dyDescent="0.2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95" customHeight="1" x14ac:dyDescent="0.2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95" customHeight="1" x14ac:dyDescent="0.2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95" customHeight="1" x14ac:dyDescent="0.2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95" customHeight="1" x14ac:dyDescent="0.2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95" customHeight="1" x14ac:dyDescent="0.2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95" customHeight="1" x14ac:dyDescent="0.2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95" customHeight="1" x14ac:dyDescent="0.2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95" customHeight="1" x14ac:dyDescent="0.2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95" customHeight="1" x14ac:dyDescent="0.2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95" customHeight="1" x14ac:dyDescent="0.2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95" customHeight="1" x14ac:dyDescent="0.2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95" customHeight="1" x14ac:dyDescent="0.2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95" customHeight="1" x14ac:dyDescent="0.2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95" customHeight="1" x14ac:dyDescent="0.2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0 E12:E15 E17:E156">
    <cfRule type="expression" dxfId="90" priority="52" stopIfTrue="1">
      <formula>AND(ROUNDDOWN(($A$4-E7)/365.25,0)&lt;=13,G7&lt;&gt;"OK")</formula>
    </cfRule>
    <cfRule type="expression" dxfId="89" priority="53" stopIfTrue="1">
      <formula>AND(ROUNDDOWN(($A$4-E7)/365.25,0)&lt;=14,G7&lt;&gt;"OK")</formula>
    </cfRule>
    <cfRule type="expression" dxfId="88" priority="54" stopIfTrue="1">
      <formula>AND(ROUNDDOWN(($A$4-E7)/365.25,0)&lt;=17,G7&lt;&gt;"OK")</formula>
    </cfRule>
  </conditionalFormatting>
  <conditionalFormatting sqref="J7:J10 J12:J15 J17:J156">
    <cfRule type="cellIs" dxfId="87" priority="51" stopIfTrue="1" operator="equal">
      <formula>"Z"</formula>
    </cfRule>
  </conditionalFormatting>
  <conditionalFormatting sqref="A7:D10 A11 A12:D15 A17:D156 A16">
    <cfRule type="expression" dxfId="86" priority="50" stopIfTrue="1">
      <formula>$Q7&gt;=1</formula>
    </cfRule>
  </conditionalFormatting>
  <conditionalFormatting sqref="E7:E10 E12:E15">
    <cfRule type="expression" dxfId="85" priority="47" stopIfTrue="1">
      <formula>AND(ROUNDDOWN(($A$4-E7)/365.25,0)&lt;=13,G7&lt;&gt;"OK")</formula>
    </cfRule>
    <cfRule type="expression" dxfId="84" priority="48" stopIfTrue="1">
      <formula>AND(ROUNDDOWN(($A$4-E7)/365.25,0)&lt;=14,G7&lt;&gt;"OK")</formula>
    </cfRule>
    <cfRule type="expression" dxfId="83" priority="49" stopIfTrue="1">
      <formula>AND(ROUNDDOWN(($A$4-E7)/365.25,0)&lt;=17,G7&lt;&gt;"OK")</formula>
    </cfRule>
  </conditionalFormatting>
  <conditionalFormatting sqref="J7:J10 J12:J15">
    <cfRule type="cellIs" dxfId="82" priority="46" stopIfTrue="1" operator="equal">
      <formula>"Z"</formula>
    </cfRule>
  </conditionalFormatting>
  <conditionalFormatting sqref="B7:D10 B12:D15">
    <cfRule type="expression" dxfId="81" priority="45" stopIfTrue="1">
      <formula>$Q7&gt;=1</formula>
    </cfRule>
  </conditionalFormatting>
  <conditionalFormatting sqref="E7:E10 E12:E15">
    <cfRule type="expression" dxfId="80" priority="42" stopIfTrue="1">
      <formula>AND(ROUNDDOWN(($A$4-E7)/365.25,0)&lt;=13,G7&lt;&gt;"OK")</formula>
    </cfRule>
    <cfRule type="expression" dxfId="79" priority="43" stopIfTrue="1">
      <formula>AND(ROUNDDOWN(($A$4-E7)/365.25,0)&lt;=14,G7&lt;&gt;"OK")</formula>
    </cfRule>
    <cfRule type="expression" dxfId="78" priority="44" stopIfTrue="1">
      <formula>AND(ROUNDDOWN(($A$4-E7)/365.25,0)&lt;=17,G7&lt;&gt;"OK")</formula>
    </cfRule>
  </conditionalFormatting>
  <conditionalFormatting sqref="B7:D10 B12:D15">
    <cfRule type="expression" dxfId="77" priority="41" stopIfTrue="1">
      <formula>$Q7&gt;=1</formula>
    </cfRule>
  </conditionalFormatting>
  <conditionalFormatting sqref="E7:E10 E29:E37 E12:E15 E17:E27">
    <cfRule type="expression" dxfId="76" priority="38" stopIfTrue="1">
      <formula>AND(ROUNDDOWN(($A$4-E7)/365.25,0)&lt;=13,G7&lt;&gt;"OK")</formula>
    </cfRule>
    <cfRule type="expression" dxfId="75" priority="39" stopIfTrue="1">
      <formula>AND(ROUNDDOWN(($A$4-E7)/365.25,0)&lt;=14,G7&lt;&gt;"OK")</formula>
    </cfRule>
    <cfRule type="expression" dxfId="74" priority="40" stopIfTrue="1">
      <formula>AND(ROUNDDOWN(($A$4-E7)/365.25,0)&lt;=17,G7&lt;&gt;"OK")</formula>
    </cfRule>
  </conditionalFormatting>
  <conditionalFormatting sqref="B7:D10 B12:D15 B17:D37">
    <cfRule type="expression" dxfId="73" priority="37" stopIfTrue="1">
      <formula>$Q7&gt;=1</formula>
    </cfRule>
  </conditionalFormatting>
  <conditionalFormatting sqref="E11">
    <cfRule type="expression" dxfId="72" priority="34" stopIfTrue="1">
      <formula>AND(ROUNDDOWN(($A$4-E11)/365.25,0)&lt;=13,G11&lt;&gt;"OK")</formula>
    </cfRule>
    <cfRule type="expression" dxfId="71" priority="35" stopIfTrue="1">
      <formula>AND(ROUNDDOWN(($A$4-E11)/365.25,0)&lt;=14,G11&lt;&gt;"OK")</formula>
    </cfRule>
    <cfRule type="expression" dxfId="70" priority="36" stopIfTrue="1">
      <formula>AND(ROUNDDOWN(($A$4-E11)/365.25,0)&lt;=17,G11&lt;&gt;"OK")</formula>
    </cfRule>
  </conditionalFormatting>
  <conditionalFormatting sqref="J11">
    <cfRule type="cellIs" dxfId="69" priority="33" stopIfTrue="1" operator="equal">
      <formula>"Z"</formula>
    </cfRule>
  </conditionalFormatting>
  <conditionalFormatting sqref="B11:D11">
    <cfRule type="expression" dxfId="68" priority="32" stopIfTrue="1">
      <formula>$Q11&gt;=1</formula>
    </cfRule>
  </conditionalFormatting>
  <conditionalFormatting sqref="E11">
    <cfRule type="expression" dxfId="67" priority="29" stopIfTrue="1">
      <formula>AND(ROUNDDOWN(($A$4-E11)/365.25,0)&lt;=13,G11&lt;&gt;"OK")</formula>
    </cfRule>
    <cfRule type="expression" dxfId="66" priority="30" stopIfTrue="1">
      <formula>AND(ROUNDDOWN(($A$4-E11)/365.25,0)&lt;=14,G11&lt;&gt;"OK")</formula>
    </cfRule>
    <cfRule type="expression" dxfId="65" priority="31" stopIfTrue="1">
      <formula>AND(ROUNDDOWN(($A$4-E11)/365.25,0)&lt;=17,G11&lt;&gt;"OK")</formula>
    </cfRule>
  </conditionalFormatting>
  <conditionalFormatting sqref="J11">
    <cfRule type="cellIs" dxfId="64" priority="28" stopIfTrue="1" operator="equal">
      <formula>"Z"</formula>
    </cfRule>
  </conditionalFormatting>
  <conditionalFormatting sqref="B11:D11">
    <cfRule type="expression" dxfId="63" priority="27" stopIfTrue="1">
      <formula>$Q11&gt;=1</formula>
    </cfRule>
  </conditionalFormatting>
  <conditionalFormatting sqref="E11">
    <cfRule type="expression" dxfId="62" priority="24" stopIfTrue="1">
      <formula>AND(ROUNDDOWN(($A$4-E11)/365.25,0)&lt;=13,G11&lt;&gt;"OK")</formula>
    </cfRule>
    <cfRule type="expression" dxfId="61" priority="25" stopIfTrue="1">
      <formula>AND(ROUNDDOWN(($A$4-E11)/365.25,0)&lt;=14,G11&lt;&gt;"OK")</formula>
    </cfRule>
    <cfRule type="expression" dxfId="60" priority="26" stopIfTrue="1">
      <formula>AND(ROUNDDOWN(($A$4-E11)/365.25,0)&lt;=17,G11&lt;&gt;"OK")</formula>
    </cfRule>
  </conditionalFormatting>
  <conditionalFormatting sqref="B11:D11">
    <cfRule type="expression" dxfId="59" priority="23" stopIfTrue="1">
      <formula>$Q11&gt;=1</formula>
    </cfRule>
  </conditionalFormatting>
  <conditionalFormatting sqref="E11">
    <cfRule type="expression" dxfId="58" priority="20" stopIfTrue="1">
      <formula>AND(ROUNDDOWN(($A$4-E11)/365.25,0)&lt;=13,G11&lt;&gt;"OK")</formula>
    </cfRule>
    <cfRule type="expression" dxfId="57" priority="21" stopIfTrue="1">
      <formula>AND(ROUNDDOWN(($A$4-E11)/365.25,0)&lt;=14,G11&lt;&gt;"OK")</formula>
    </cfRule>
    <cfRule type="expression" dxfId="56" priority="22" stopIfTrue="1">
      <formula>AND(ROUNDDOWN(($A$4-E11)/365.25,0)&lt;=17,G11&lt;&gt;"OK")</formula>
    </cfRule>
  </conditionalFormatting>
  <conditionalFormatting sqref="B11:D11">
    <cfRule type="expression" dxfId="55" priority="19" stopIfTrue="1">
      <formula>$Q11&gt;=1</formula>
    </cfRule>
  </conditionalFormatting>
  <conditionalFormatting sqref="E16">
    <cfRule type="expression" dxfId="54" priority="7" stopIfTrue="1">
      <formula>AND(ROUNDDOWN(($A$4-E16)/365.25,0)&lt;=13,G16&lt;&gt;"OK")</formula>
    </cfRule>
    <cfRule type="expression" dxfId="53" priority="8" stopIfTrue="1">
      <formula>AND(ROUNDDOWN(($A$4-E16)/365.25,0)&lt;=14,G16&lt;&gt;"OK")</formula>
    </cfRule>
    <cfRule type="expression" dxfId="52" priority="9" stopIfTrue="1">
      <formula>AND(ROUNDDOWN(($A$4-E16)/365.25,0)&lt;=17,G16&lt;&gt;"OK")</formula>
    </cfRule>
  </conditionalFormatting>
  <conditionalFormatting sqref="J16">
    <cfRule type="cellIs" dxfId="51" priority="6" stopIfTrue="1" operator="equal">
      <formula>"Z"</formula>
    </cfRule>
  </conditionalFormatting>
  <conditionalFormatting sqref="B16:D16">
    <cfRule type="expression" dxfId="50" priority="5" stopIfTrue="1">
      <formula>$Q16&gt;=1</formula>
    </cfRule>
  </conditionalFormatting>
  <conditionalFormatting sqref="E16">
    <cfRule type="expression" dxfId="49" priority="2" stopIfTrue="1">
      <formula>AND(ROUNDDOWN(($A$4-E16)/365.25,0)&lt;=13,G16&lt;&gt;"OK")</formula>
    </cfRule>
    <cfRule type="expression" dxfId="48" priority="3" stopIfTrue="1">
      <formula>AND(ROUNDDOWN(($A$4-E16)/365.25,0)&lt;=14,G16&lt;&gt;"OK")</formula>
    </cfRule>
    <cfRule type="expression" dxfId="47" priority="4" stopIfTrue="1">
      <formula>AND(ROUNDDOWN(($A$4-E16)/365.25,0)&lt;=17,G16&lt;&gt;"OK")</formula>
    </cfRule>
  </conditionalFormatting>
  <conditionalFormatting sqref="B16:D16">
    <cfRule type="expression" dxfId="46" priority="1" stopIfTrue="1">
      <formula>$Q16&gt;=1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4">
    <tabColor indexed="11"/>
    <pageSetUpPr fitToPage="1"/>
  </sheetPr>
  <dimension ref="A1:AO57"/>
  <sheetViews>
    <sheetView showGridLines="0" showZeros="0" workbookViewId="0">
      <selection activeCell="W1" sqref="W1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7" customWidth="1"/>
    <col min="11" max="11" width="10.7109375" customWidth="1"/>
    <col min="12" max="12" width="1.7109375" style="117" customWidth="1"/>
    <col min="13" max="13" width="10.7109375" customWidth="1"/>
    <col min="14" max="14" width="1.7109375" style="118" customWidth="1"/>
    <col min="15" max="15" width="10.7109375" customWidth="1"/>
    <col min="16" max="16" width="1.7109375" style="117" customWidth="1"/>
    <col min="17" max="17" width="10.7109375" customWidth="1"/>
    <col min="18" max="18" width="1.7109375" style="118" customWidth="1"/>
    <col min="19" max="19" width="9.140625" hidden="1" customWidth="1"/>
    <col min="20" max="20" width="8.7109375" customWidth="1"/>
    <col min="21" max="21" width="9.140625" hidden="1" customWidth="1"/>
    <col min="25" max="34" width="9.140625" hidden="1" customWidth="1"/>
    <col min="35" max="37" width="9.140625" style="374" customWidth="1"/>
  </cols>
  <sheetData>
    <row r="1" spans="1:37" s="119" customFormat="1" ht="21.75" customHeight="1" x14ac:dyDescent="0.2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">
      <c r="A2" s="293" t="s">
        <v>51</v>
      </c>
      <c r="B2" s="90"/>
      <c r="C2" s="90"/>
      <c r="D2" s="90"/>
      <c r="E2" s="287" t="str">
        <f>Altalanos!$C$8</f>
        <v>F16 csapat</v>
      </c>
      <c r="F2" s="90"/>
      <c r="G2" s="122"/>
      <c r="H2" s="100"/>
      <c r="I2" s="100"/>
      <c r="J2" s="123"/>
      <c r="K2" s="107"/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25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25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5" customHeight="1" x14ac:dyDescent="0.2">
      <c r="A7" s="135">
        <v>1</v>
      </c>
      <c r="B7" s="243">
        <f>IF($E7="","",VLOOKUP($E7,'F16 csapat ELO'!$A$7:$O$22,14))</f>
        <v>0</v>
      </c>
      <c r="C7" s="272">
        <f>IF($E7="","",VLOOKUP($E7,'F16 csapat ELO'!$A$7:$O$22,15))</f>
        <v>17</v>
      </c>
      <c r="D7" s="272">
        <f>IF($E7="","",VLOOKUP($E7,'F16 csapat ELO'!$A$7:$O$22,5))</f>
        <v>0</v>
      </c>
      <c r="E7" s="136">
        <v>1</v>
      </c>
      <c r="F7" s="137" t="str">
        <f>UPPER(IF($E7="","",VLOOKUP($E7,'F16 csapat ELO'!$A$7:$O$22,2)))</f>
        <v>SUPER EXTRA TENNIS</v>
      </c>
      <c r="G7" s="137">
        <f>IF($E7="","",VLOOKUP($E7,'F16 csapat ELO'!$A$7:$O$22,3))</f>
        <v>0</v>
      </c>
      <c r="H7" s="137"/>
      <c r="I7" s="137">
        <f>IF($E7="","",VLOOKUP($E7,'F16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5" customHeight="1" x14ac:dyDescent="0.2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SUPER EXTRA TENNIS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5" customHeight="1" x14ac:dyDescent="0.2">
      <c r="A9" s="147">
        <v>2</v>
      </c>
      <c r="B9" s="243" t="str">
        <f>IF($E9="","",VLOOKUP($E9,'F16 csapat ELO'!$A$7:$O$22,14))</f>
        <v/>
      </c>
      <c r="C9" s="272" t="str">
        <f>IF($E9="","",VLOOKUP($E9,'F16 csapat ELO'!$A$7:$O$22,15))</f>
        <v/>
      </c>
      <c r="D9" s="272" t="str">
        <f>IF($E9="","",VLOOKUP($E9,'F16 csapat ELO'!$A$7:$O$22,5))</f>
        <v/>
      </c>
      <c r="E9" s="136"/>
      <c r="F9" s="155" t="str">
        <f>UPPER(IF($E9="","",VLOOKUP($E9,'F16 csapat ELO'!$A$7:$O$22,2)))</f>
        <v/>
      </c>
      <c r="G9" s="155" t="str">
        <f>IF($E9="","",VLOOKUP($E9,'F16 csapat ELO'!$A$7:$O$22,3))</f>
        <v/>
      </c>
      <c r="H9" s="155"/>
      <c r="I9" s="137" t="str">
        <f>IF($E9="","",VLOOKUP($E9,'F16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5" customHeight="1" x14ac:dyDescent="0.2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145</v>
      </c>
      <c r="M10" s="153" t="str">
        <f>UPPER(IF(OR(L10="a",L10="as"),K8,IF(OR(L10="b",L10="bs"),K12,)))</f>
        <v>SUPER EXTRA TENNIS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5" customHeight="1" x14ac:dyDescent="0.2">
      <c r="A11" s="147">
        <v>3</v>
      </c>
      <c r="B11" s="243">
        <f>IF($E11="","",VLOOKUP($E11,'F16 csapat ELO'!$A$7:$O$22,14))</f>
        <v>0</v>
      </c>
      <c r="C11" s="272">
        <f>IF($E11="","",VLOOKUP($E11,'F16 csapat ELO'!$A$7:$O$22,15))</f>
        <v>60</v>
      </c>
      <c r="D11" s="272">
        <f>IF($E11="","",VLOOKUP($E11,'F16 csapat ELO'!$A$7:$O$22,5))</f>
        <v>0</v>
      </c>
      <c r="E11" s="136">
        <v>6</v>
      </c>
      <c r="F11" s="155" t="str">
        <f>UPPER(IF($E11="","",VLOOKUP($E11,'F16 csapat ELO'!$A$7:$O$22,2)))</f>
        <v>ALFA TI</v>
      </c>
      <c r="G11" s="155">
        <f>IF($E11="","",VLOOKUP($E11,'F16 csapat ELO'!$A$7:$O$22,3))</f>
        <v>0</v>
      </c>
      <c r="H11" s="155"/>
      <c r="I11" s="155">
        <f>IF($E11="","",VLOOKUP($E11,'F16 csapat ELO'!$A$7:$O$22,4))</f>
        <v>0</v>
      </c>
      <c r="J11" s="139"/>
      <c r="K11" s="138"/>
      <c r="L11" s="163"/>
      <c r="M11" s="167" t="s">
        <v>142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5" customHeight="1" x14ac:dyDescent="0.2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129</v>
      </c>
      <c r="K12" s="153" t="str">
        <f>UPPER(IF(OR(J12="a",J12="as"),F11,IF(OR(J12="b",J12="bs"),F13,)))</f>
        <v>ALFA TI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5" customHeight="1" x14ac:dyDescent="0.2">
      <c r="A13" s="147">
        <v>4</v>
      </c>
      <c r="B13" s="243" t="str">
        <f>IF($E13="","",VLOOKUP($E13,'F16 csapat ELO'!$A$7:$O$22,14))</f>
        <v/>
      </c>
      <c r="C13" s="272" t="str">
        <f>IF($E13="","",VLOOKUP($E13,'F16 csapat ELO'!$A$7:$O$22,15))</f>
        <v/>
      </c>
      <c r="D13" s="272" t="str">
        <f>IF($E13="","",VLOOKUP($E13,'F16 csapat ELO'!$A$7:$O$22,5))</f>
        <v/>
      </c>
      <c r="E13" s="136"/>
      <c r="F13" s="155" t="str">
        <f>UPPER(IF($E13="","",VLOOKUP($E13,'F16 csapat ELO'!$A$7:$O$22,2)))</f>
        <v/>
      </c>
      <c r="G13" s="155" t="str">
        <f>IF($E13="","",VLOOKUP($E13,'F16 csapat ELO'!$A$7:$O$22,3))</f>
        <v/>
      </c>
      <c r="H13" s="155"/>
      <c r="I13" s="155" t="str">
        <f>IF($E13="","",VLOOKUP($E13,'F16 csapat ELO'!$A$7:$O$22,4))</f>
        <v/>
      </c>
      <c r="J13" s="166"/>
      <c r="K13" s="138"/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5" customHeight="1" x14ac:dyDescent="0.2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130</v>
      </c>
      <c r="O14" s="153" t="str">
        <f>UPPER(IF(OR(N14="a",N14="as"),M10,IF(OR(N14="b",N14="bs"),M18,)))</f>
        <v>TENISZ MŰHELY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5" customHeight="1" x14ac:dyDescent="0.2">
      <c r="A15" s="135">
        <v>5</v>
      </c>
      <c r="B15" s="243" t="str">
        <f>IF($E15="","",VLOOKUP($E15,'F16 csapat ELO'!$A$7:$O$22,14))</f>
        <v/>
      </c>
      <c r="C15" s="272" t="str">
        <f>IF($E15="","",VLOOKUP($E15,'F16 csapat ELO'!$A$7:$O$22,15))</f>
        <v/>
      </c>
      <c r="D15" s="272" t="str">
        <f>IF($E15="","",VLOOKUP($E15,'F16 csapat ELO'!$A$7:$O$22,5))</f>
        <v/>
      </c>
      <c r="E15" s="136"/>
      <c r="F15" s="137" t="str">
        <f>UPPER(IF($E15="","",VLOOKUP($E15,'F16 csapat ELO'!$A$7:$O$22,2)))</f>
        <v/>
      </c>
      <c r="G15" s="137" t="str">
        <f>IF($E15="","",VLOOKUP($E15,'F16 csapat ELO'!$A$7:$O$22,3))</f>
        <v/>
      </c>
      <c r="H15" s="137"/>
      <c r="I15" s="137" t="str">
        <f>IF($E15="","",VLOOKUP($E15,'F16 csapat ELO'!$A$7:$O$22,4))</f>
        <v/>
      </c>
      <c r="J15" s="168"/>
      <c r="K15" s="138"/>
      <c r="L15" s="138"/>
      <c r="M15" s="138"/>
      <c r="N15" s="164"/>
      <c r="O15" s="162" t="s">
        <v>141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5" customHeight="1" thickBot="1" x14ac:dyDescent="0.25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130</v>
      </c>
      <c r="K16" s="153" t="str">
        <f>UPPER(IF(OR(J16="a",J16="as"),F15,IF(OR(J16="b",J16="bs"),F17,)))</f>
        <v>TENISZ MŰHELY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5" customHeight="1" x14ac:dyDescent="0.2">
      <c r="A17" s="147">
        <v>6</v>
      </c>
      <c r="B17" s="243">
        <f>IF($E17="","",VLOOKUP($E17,'F16 csapat ELO'!$A$7:$O$22,14))</f>
        <v>0</v>
      </c>
      <c r="C17" s="272">
        <f>IF($E17="","",VLOOKUP($E17,'F16 csapat ELO'!$A$7:$O$22,15))</f>
        <v>36</v>
      </c>
      <c r="D17" s="272">
        <f>IF($E17="","",VLOOKUP($E17,'F16 csapat ELO'!$A$7:$O$22,5))</f>
        <v>0</v>
      </c>
      <c r="E17" s="136">
        <v>4</v>
      </c>
      <c r="F17" s="155" t="str">
        <f>UPPER(IF($E17="","",VLOOKUP($E17,'F16 csapat ELO'!$A$7:$O$22,2)))</f>
        <v>TENISZ MŰHELY</v>
      </c>
      <c r="G17" s="155">
        <f>IF($E17="","",VLOOKUP($E17,'F16 csapat ELO'!$A$7:$O$22,3))</f>
        <v>0</v>
      </c>
      <c r="H17" s="155"/>
      <c r="I17" s="155">
        <f>IF($E17="","",VLOOKUP($E17,'F16 csapat ELO'!$A$7:$O$22,4))</f>
        <v>0</v>
      </c>
      <c r="J17" s="156"/>
      <c r="K17" s="138"/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5" customHeight="1" x14ac:dyDescent="0.2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129</v>
      </c>
      <c r="M18" s="153" t="str">
        <f>UPPER(IF(OR(L18="a",L18="as"),K16,IF(OR(L18="b",L18="bs"),K20,)))</f>
        <v>TENISZ MŰHELY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5" customHeight="1" x14ac:dyDescent="0.2">
      <c r="A19" s="147">
        <v>7</v>
      </c>
      <c r="B19" s="243">
        <f>IF($E19="","",VLOOKUP($E19,'F16 csapat ELO'!$A$7:$O$22,14))</f>
        <v>0</v>
      </c>
      <c r="C19" s="272">
        <f>IF($E19="","",VLOOKUP($E19,'F16 csapat ELO'!$A$7:$O$22,15))</f>
        <v>64</v>
      </c>
      <c r="D19" s="272">
        <f>IF($E19="","",VLOOKUP($E19,'F16 csapat ELO'!$A$7:$O$22,5))</f>
        <v>0</v>
      </c>
      <c r="E19" s="136">
        <v>7</v>
      </c>
      <c r="F19" s="155" t="str">
        <f>UPPER(IF($E19="","",VLOOKUP($E19,'F16 csapat ELO'!$A$7:$O$22,2)))</f>
        <v>PASARÉT TK 2</v>
      </c>
      <c r="G19" s="155">
        <f>IF($E19="","",VLOOKUP($E19,'F16 csapat ELO'!$A$7:$O$22,3))</f>
        <v>0</v>
      </c>
      <c r="H19" s="155"/>
      <c r="I19" s="155">
        <f>IF($E19="","",VLOOKUP($E19,'F16 csapat ELO'!$A$7:$O$22,4))</f>
        <v>0</v>
      </c>
      <c r="J19" s="139"/>
      <c r="K19" s="138"/>
      <c r="L19" s="163"/>
      <c r="M19" s="138" t="s">
        <v>140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5" customHeight="1" x14ac:dyDescent="0.2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129</v>
      </c>
      <c r="K20" s="153" t="str">
        <f>UPPER(IF(OR(J20="a",J20="as"),F19,IF(OR(J20="b",J20="bs"),F21,)))</f>
        <v>PASARÉT TK 2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5" customHeight="1" x14ac:dyDescent="0.2">
      <c r="A21" s="147">
        <v>8</v>
      </c>
      <c r="B21" s="243">
        <f>IF($E21="","",VLOOKUP($E21,'F16 csapat ELO'!$A$7:$O$22,14))</f>
        <v>0</v>
      </c>
      <c r="C21" s="272">
        <f>IF($E21="","",VLOOKUP($E21,'F16 csapat ELO'!$A$7:$O$22,15))</f>
        <v>159</v>
      </c>
      <c r="D21" s="272">
        <f>IF($E21="","",VLOOKUP($E21,'F16 csapat ELO'!$A$7:$O$22,5))</f>
        <v>0</v>
      </c>
      <c r="E21" s="136">
        <v>8</v>
      </c>
      <c r="F21" s="155" t="str">
        <f>UPPER(IF($E21="","",VLOOKUP($E21,'F16 csapat ELO'!$A$7:$O$22,2)))</f>
        <v>FORTUNA SE</v>
      </c>
      <c r="G21" s="155">
        <f>IF($E21="","",VLOOKUP($E21,'F16 csapat ELO'!$A$7:$O$22,3))</f>
        <v>0</v>
      </c>
      <c r="H21" s="155"/>
      <c r="I21" s="155">
        <f>IF($E21="","",VLOOKUP($E21,'F16 csapat ELO'!$A$7:$O$22,4))</f>
        <v>0</v>
      </c>
      <c r="J21" s="166"/>
      <c r="K21" s="162" t="s">
        <v>141</v>
      </c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5" customHeight="1" x14ac:dyDescent="0.2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128</v>
      </c>
      <c r="Q22" s="153" t="str">
        <f>UPPER(IF(OR(P22="a",P22="as"),O14,IF(OR(P22="b",P22="bs"),O30,)))</f>
        <v>VASAS SC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5" customHeight="1" x14ac:dyDescent="0.2">
      <c r="A23" s="147">
        <v>9</v>
      </c>
      <c r="B23" s="243">
        <f>IF($E23="","",VLOOKUP($E23,'F16 csapat ELO'!$A$7:$O$22,14))</f>
        <v>0</v>
      </c>
      <c r="C23" s="272">
        <f>IF($E23="","",VLOOKUP($E23,'F16 csapat ELO'!$A$7:$O$22,15))</f>
        <v>47</v>
      </c>
      <c r="D23" s="272">
        <f>IF($E23="","",VLOOKUP($E23,'F16 csapat ELO'!$A$7:$O$22,5))</f>
        <v>0</v>
      </c>
      <c r="E23" s="136">
        <v>5</v>
      </c>
      <c r="F23" s="155" t="str">
        <f>UPPER(IF($E23="","",VLOOKUP($E23,'F16 csapat ELO'!$A$7:$O$22,2)))</f>
        <v>OKOS TENISZ SE</v>
      </c>
      <c r="G23" s="155">
        <f>IF($E23="","",VLOOKUP($E23,'F16 csapat ELO'!$A$7:$O$22,3))</f>
        <v>0</v>
      </c>
      <c r="H23" s="155"/>
      <c r="I23" s="155">
        <f>IF($E23="","",VLOOKUP($E23,'F16 csapat ELO'!$A$7:$O$22,4))</f>
        <v>0</v>
      </c>
      <c r="J23" s="139"/>
      <c r="K23" s="138"/>
      <c r="L23" s="138"/>
      <c r="M23" s="138"/>
      <c r="N23" s="162"/>
      <c r="O23" s="138"/>
      <c r="P23" s="164"/>
      <c r="Q23" s="138" t="s">
        <v>140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5" customHeight="1" x14ac:dyDescent="0.2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129</v>
      </c>
      <c r="K24" s="153" t="str">
        <f>UPPER(IF(OR(J24="a",J24="as"),F23,IF(OR(J24="b",J24="bs"),F25,)))</f>
        <v>OKOS TENISZ SE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5" customHeight="1" x14ac:dyDescent="0.2">
      <c r="A25" s="147">
        <v>10</v>
      </c>
      <c r="B25" s="243" t="str">
        <f>IF($E25="","",VLOOKUP($E25,'F16 csapat ELO'!$A$7:$O$22,14))</f>
        <v/>
      </c>
      <c r="C25" s="272" t="str">
        <f>IF($E25="","",VLOOKUP($E25,'F16 csapat ELO'!$A$7:$O$22,15))</f>
        <v/>
      </c>
      <c r="D25" s="272" t="str">
        <f>IF($E25="","",VLOOKUP($E25,'F16 csapat ELO'!$A$7:$O$22,5))</f>
        <v/>
      </c>
      <c r="E25" s="136"/>
      <c r="F25" s="155" t="str">
        <f>UPPER(IF($E25="","",VLOOKUP($E25,'F16 csapat ELO'!$A$7:$O$22,2)))</f>
        <v/>
      </c>
      <c r="G25" s="155" t="str">
        <f>IF($E25="","",VLOOKUP($E25,'F16 csapat ELO'!$A$7:$O$22,3))</f>
        <v/>
      </c>
      <c r="H25" s="155"/>
      <c r="I25" s="155" t="str">
        <f>IF($E25="","",VLOOKUP($E25,'F16 csapat ELO'!$A$7:$O$22,4))</f>
        <v/>
      </c>
      <c r="J25" s="156"/>
      <c r="K25" s="138"/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5" customHeight="1" x14ac:dyDescent="0.2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130</v>
      </c>
      <c r="M26" s="153" t="str">
        <f>UPPER(IF(OR(L26="a",L26="as"),K24,IF(OR(L26="b",L26="bs"),K28,)))</f>
        <v>PASARÉT TK 1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5" customHeight="1" x14ac:dyDescent="0.2">
      <c r="A27" s="147">
        <v>11</v>
      </c>
      <c r="B27" s="243">
        <f>IF($E27="","",VLOOKUP($E27,'F16 csapat ELO'!$A$7:$O$22,14))</f>
        <v>0</v>
      </c>
      <c r="C27" s="272">
        <f>IF($E27="","",VLOOKUP($E27,'F16 csapat ELO'!$A$7:$O$22,15))</f>
        <v>30</v>
      </c>
      <c r="D27" s="272">
        <f>IF($E27="","",VLOOKUP($E27,'F16 csapat ELO'!$A$7:$O$22,5))</f>
        <v>0</v>
      </c>
      <c r="E27" s="136">
        <v>3</v>
      </c>
      <c r="F27" s="155" t="str">
        <f>UPPER(IF($E27="","",VLOOKUP($E27,'F16 csapat ELO'!$A$7:$O$22,2)))</f>
        <v>PASARÉT TK 1</v>
      </c>
      <c r="G27" s="155">
        <f>IF($E27="","",VLOOKUP($E27,'F16 csapat ELO'!$A$7:$O$22,3))</f>
        <v>0</v>
      </c>
      <c r="H27" s="155"/>
      <c r="I27" s="155">
        <f>IF($E27="","",VLOOKUP($E27,'F16 csapat ELO'!$A$7:$O$22,4))</f>
        <v>0</v>
      </c>
      <c r="J27" s="139"/>
      <c r="K27" s="138"/>
      <c r="L27" s="163"/>
      <c r="M27" s="138" t="s">
        <v>140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5" customHeight="1" x14ac:dyDescent="0.2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129</v>
      </c>
      <c r="K28" s="153" t="str">
        <f>UPPER(IF(OR(J28="a",J28="as"),F27,IF(OR(J28="b",J28="bs"),F29,)))</f>
        <v>PASARÉT TK 1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5" customHeight="1" x14ac:dyDescent="0.2">
      <c r="A29" s="135">
        <v>12</v>
      </c>
      <c r="B29" s="243" t="str">
        <f>IF($E29="","",VLOOKUP($E29,'F16 csapat ELO'!$A$7:$O$22,14))</f>
        <v/>
      </c>
      <c r="C29" s="272" t="str">
        <f>IF($E29="","",VLOOKUP($E29,'F16 csapat ELO'!$A$7:$O$22,15))</f>
        <v/>
      </c>
      <c r="D29" s="272" t="str">
        <f>IF($E29="","",VLOOKUP($E29,'F16 csapat ELO'!$A$7:$O$22,5))</f>
        <v/>
      </c>
      <c r="E29" s="136"/>
      <c r="F29" s="137" t="str">
        <f>UPPER(IF($E29="","",VLOOKUP($E29,'F16 csapat ELO'!$A$7:$O$22,2)))</f>
        <v/>
      </c>
      <c r="G29" s="137" t="str">
        <f>IF($E29="","",VLOOKUP($E29,'F16 csapat ELO'!$A$7:$O$22,3))</f>
        <v/>
      </c>
      <c r="H29" s="137"/>
      <c r="I29" s="137" t="str">
        <f>IF($E29="","",VLOOKUP($E29,'F16 csapat ELO'!$A$7:$O$22,4))</f>
        <v/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5" customHeight="1" x14ac:dyDescent="0.2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128</v>
      </c>
      <c r="O30" s="153" t="str">
        <f>UPPER(IF(OR(N30="a",N30="as"),M26,IF(OR(N30="b",N30="bs"),M34,)))</f>
        <v>VASAS SC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5" customHeight="1" x14ac:dyDescent="0.2">
      <c r="A31" s="147">
        <v>13</v>
      </c>
      <c r="B31" s="243">
        <f>IF($E31="","",VLOOKUP($E31,'F16 csapat ELO'!$A$7:$O$22,14))</f>
        <v>0</v>
      </c>
      <c r="C31" s="272">
        <f>IF($E31="","",VLOOKUP($E31,'F16 csapat ELO'!$A$7:$O$22,15))</f>
        <v>305</v>
      </c>
      <c r="D31" s="272">
        <f>IF($E31="","",VLOOKUP($E31,'F16 csapat ELO'!$A$7:$O$22,5))</f>
        <v>0</v>
      </c>
      <c r="E31" s="136">
        <v>10</v>
      </c>
      <c r="F31" s="155" t="str">
        <f>UPPER(IF($E31="","",VLOOKUP($E31,'F16 csapat ELO'!$A$7:$O$22,2)))</f>
        <v>BUD. HONVÉD</v>
      </c>
      <c r="G31" s="155">
        <f>IF($E31="","",VLOOKUP($E31,'F16 csapat ELO'!$A$7:$O$22,3))</f>
        <v>0</v>
      </c>
      <c r="H31" s="155"/>
      <c r="I31" s="155">
        <f>IF($E31="","",VLOOKUP($E31,'F16 csapat ELO'!$A$7:$O$22,4))</f>
        <v>0</v>
      </c>
      <c r="J31" s="168"/>
      <c r="K31" s="138"/>
      <c r="L31" s="138"/>
      <c r="M31" s="138"/>
      <c r="N31" s="164"/>
      <c r="O31" s="138" t="s">
        <v>142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5" customHeight="1" x14ac:dyDescent="0.2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129</v>
      </c>
      <c r="K32" s="153" t="str">
        <f>UPPER(IF(OR(J32="a",J32="as"),F31,IF(OR(J32="b",J32="bs"),F33,)))</f>
        <v>BUD. HONVÉD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5" customHeight="1" x14ac:dyDescent="0.2">
      <c r="A33" s="147">
        <v>14</v>
      </c>
      <c r="B33" s="243">
        <f>IF($E33="","",VLOOKUP($E33,'F16 csapat ELO'!$A$7:$O$22,14))</f>
        <v>0</v>
      </c>
      <c r="C33" s="272">
        <f>IF($E33="","",VLOOKUP($E33,'F16 csapat ELO'!$A$7:$O$22,15))</f>
        <v>190</v>
      </c>
      <c r="D33" s="272">
        <f>IF($E33="","",VLOOKUP($E33,'F16 csapat ELO'!$A$7:$O$22,5))</f>
        <v>0</v>
      </c>
      <c r="E33" s="136">
        <v>9</v>
      </c>
      <c r="F33" s="155" t="str">
        <f>UPPER(IF($E33="","",VLOOKUP($E33,'F16 csapat ELO'!$A$7:$O$22,2)))</f>
        <v>METRO RSC</v>
      </c>
      <c r="G33" s="155">
        <f>IF($E33="","",VLOOKUP($E33,'F16 csapat ELO'!$A$7:$O$22,3))</f>
        <v>0</v>
      </c>
      <c r="H33" s="155"/>
      <c r="I33" s="155">
        <f>IF($E33="","",VLOOKUP($E33,'F16 csapat ELO'!$A$7:$O$22,4))</f>
        <v>0</v>
      </c>
      <c r="J33" s="156"/>
      <c r="K33" s="162" t="s">
        <v>141</v>
      </c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5" customHeight="1" x14ac:dyDescent="0.2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VASAS SC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5" customHeight="1" x14ac:dyDescent="0.2">
      <c r="A35" s="147">
        <v>15</v>
      </c>
      <c r="B35" s="243" t="str">
        <f>IF($E35="","",VLOOKUP($E35,'F16 csapat ELO'!$A$7:$O$22,14))</f>
        <v/>
      </c>
      <c r="C35" s="272" t="str">
        <f>IF($E35="","",VLOOKUP($E35,'F16 csapat ELO'!$A$7:$O$22,15))</f>
        <v/>
      </c>
      <c r="D35" s="272" t="str">
        <f>IF($E35="","",VLOOKUP($E35,'F16 csapat ELO'!$A$7:$O$22,5))</f>
        <v/>
      </c>
      <c r="E35" s="136"/>
      <c r="F35" s="155" t="str">
        <f>UPPER(IF($E35="","",VLOOKUP($E35,'F16 csapat ELO'!$A$7:$O$22,2)))</f>
        <v/>
      </c>
      <c r="G35" s="155" t="str">
        <f>IF($E35="","",VLOOKUP($E35,'F16 csapat ELO'!$A$7:$O$22,3))</f>
        <v/>
      </c>
      <c r="H35" s="155"/>
      <c r="I35" s="155" t="str">
        <f>IF($E35="","",VLOOKUP($E35,'F16 csapat ELO'!$A$7:$O$22,4))</f>
        <v/>
      </c>
      <c r="J35" s="139"/>
      <c r="K35" s="138"/>
      <c r="L35" s="163"/>
      <c r="M35" s="167" t="s">
        <v>140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5" customHeight="1" x14ac:dyDescent="0.2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VASAS SC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5" customHeight="1" x14ac:dyDescent="0.2">
      <c r="A37" s="135">
        <v>16</v>
      </c>
      <c r="B37" s="243">
        <f>IF($E37="","",VLOOKUP($E37,'F16 csapat ELO'!$A$7:$O$22,14))</f>
        <v>0</v>
      </c>
      <c r="C37" s="272">
        <f>IF($E37="","",VLOOKUP($E37,'F16 csapat ELO'!$A$7:$O$22,15))</f>
        <v>29</v>
      </c>
      <c r="D37" s="272">
        <f>IF($E37="","",VLOOKUP($E37,'F16 csapat ELO'!$A$7:$O$22,5))</f>
        <v>0</v>
      </c>
      <c r="E37" s="136">
        <v>2</v>
      </c>
      <c r="F37" s="137" t="str">
        <f>UPPER(IF($E37="","",VLOOKUP($E37,'F16 csapat ELO'!$A$7:$O$22,2)))</f>
        <v>VASAS SC</v>
      </c>
      <c r="G37" s="137">
        <f>IF($E37="","",VLOOKUP($E37,'F16 csapat ELO'!$A$7:$O$22,3))</f>
        <v>0</v>
      </c>
      <c r="H37" s="155"/>
      <c r="I37" s="137">
        <f>IF($E37="","",VLOOKUP($E37,'F16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IF(E50&gt;$R$57,,UPPER(VLOOKUP(E50,'F16 csapat ELO'!$A$7:$Q$134,2)))</f>
        <v>SUPER EXTRA TENNIS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IF(E51&gt;$R$57,,UPPER(VLOOKUP(E51,'F16 csapat ELO'!$A$7:$Q$134,2)))</f>
        <v>VASAS SC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">
      <c r="A52" s="236"/>
      <c r="B52" s="237"/>
      <c r="C52" s="274"/>
      <c r="D52" s="238"/>
      <c r="E52" s="197">
        <v>3</v>
      </c>
      <c r="F52" s="87" t="str">
        <f>IF(E52&gt;$R$57,,UPPER(VLOOKUP(E52,'F16 csapat ELO'!$A$7:$Q$134,2)))</f>
        <v>PASARÉT TK 1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">
      <c r="A53" s="211"/>
      <c r="B53" s="269"/>
      <c r="C53" s="269"/>
      <c r="D53" s="212"/>
      <c r="E53" s="197">
        <v>4</v>
      </c>
      <c r="F53" s="87" t="str">
        <f>IF(E53&gt;$R$57,,UPPER(VLOOKUP(E53,'F16 csapat ELO'!$A$7:$Q$134,2)))</f>
        <v>TENISZ MŰHELY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MIN(4,'F16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45" priority="14" stopIfTrue="1">
      <formula>AND($E7&lt;9,$C7&gt;0)</formula>
    </cfRule>
  </conditionalFormatting>
  <conditionalFormatting sqref="I32 I46 I36 K44 I42 K10 M14 K18 K26 K34 M30 M40 O22 I8 I12 I16 I20 I24 I28">
    <cfRule type="expression" dxfId="44" priority="11" stopIfTrue="1">
      <formula>AND($O$1="CU",I8="Umpire")</formula>
    </cfRule>
    <cfRule type="expression" dxfId="43" priority="12" stopIfTrue="1">
      <formula>AND($O$1="CU",I8&lt;&gt;"Umpire",J8&lt;&gt;"")</formula>
    </cfRule>
    <cfRule type="expression" dxfId="42" priority="13" stopIfTrue="1">
      <formula>AND($O$1="CU",I8&lt;&gt;"Umpire")</formula>
    </cfRule>
  </conditionalFormatting>
  <conditionalFormatting sqref="E39 E47 E45 E43 E41">
    <cfRule type="expression" dxfId="41" priority="10" stopIfTrue="1">
      <formula>AND($E39&lt;9,$C39&gt;0)</formula>
    </cfRule>
  </conditionalFormatting>
  <conditionalFormatting sqref="F41 F43 F45 F47 F39">
    <cfRule type="cellIs" dxfId="40" priority="8" stopIfTrue="1" operator="equal">
      <formula>"Bye"</formula>
    </cfRule>
    <cfRule type="expression" dxfId="39" priority="9" stopIfTrue="1">
      <formula>AND($E39&lt;9,$C39&gt;0)</formula>
    </cfRule>
  </conditionalFormatting>
  <conditionalFormatting sqref="M10 M18 M26 M34 O30 O40 M44 O14 Q22 K8 K12 K16 K20 K24 K28 K32 K36 K42 K46">
    <cfRule type="expression" dxfId="38" priority="6" stopIfTrue="1">
      <formula>J8="as"</formula>
    </cfRule>
    <cfRule type="expression" dxfId="37" priority="7" stopIfTrue="1">
      <formula>J8="bs"</formula>
    </cfRule>
  </conditionalFormatting>
  <conditionalFormatting sqref="B41 B43 B45 B47 B39">
    <cfRule type="cellIs" dxfId="36" priority="4" stopIfTrue="1" operator="equal">
      <formula>"QA"</formula>
    </cfRule>
    <cfRule type="cellIs" dxfId="35" priority="5" stopIfTrue="1" operator="equal">
      <formula>"DA"</formula>
    </cfRule>
  </conditionalFormatting>
  <conditionalFormatting sqref="R57 J8 J12 J16 J20 J24 J28 J32 J36 N30 N14 L10 L34 L18 L26 P22">
    <cfRule type="expression" dxfId="34" priority="3" stopIfTrue="1">
      <formula>$O$1="CU"</formula>
    </cfRule>
  </conditionalFormatting>
  <conditionalFormatting sqref="E9 E7 E11 E13 E15 E17 E19 E21 E23 E25 E27 E29 E31 E33 E35 E37">
    <cfRule type="expression" dxfId="33" priority="2" stopIfTrue="1">
      <formula>$E7&lt;5</formula>
    </cfRule>
  </conditionalFormatting>
  <conditionalFormatting sqref="F35 F37 F25 F33 F31 F29 F27 F23 F19 F21 F9 F17 F15 F13 F11 F7">
    <cfRule type="cellIs" dxfId="32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01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1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Altalanos</vt:lpstr>
      <vt:lpstr>Birók</vt:lpstr>
      <vt:lpstr>F12 csapat ELO</vt:lpstr>
      <vt:lpstr>F12 csapat</vt:lpstr>
      <vt:lpstr>F12csapat vigasz</vt:lpstr>
      <vt:lpstr>F14 csapat ELO</vt:lpstr>
      <vt:lpstr>F14 csapat</vt:lpstr>
      <vt:lpstr>F16 csapat ELO</vt:lpstr>
      <vt:lpstr>F16 csapat</vt:lpstr>
      <vt:lpstr>F18 csapat ELO</vt:lpstr>
      <vt:lpstr>Fiú 18 csapat</vt:lpstr>
      <vt:lpstr>'F12 csapat ELO'!Nyomtatási_cím</vt:lpstr>
      <vt:lpstr>'F14 csapat ELO'!Nyomtatási_cím</vt:lpstr>
      <vt:lpstr>'F16 csapat ELO'!Nyomtatási_cím</vt:lpstr>
      <vt:lpstr>'F18 csapat ELO'!Nyomtatási_cím</vt:lpstr>
      <vt:lpstr>Birók!Nyomtatási_terület</vt:lpstr>
      <vt:lpstr>'F12 csapat'!Nyomtatási_terület</vt:lpstr>
      <vt:lpstr>'F12 csapat ELO'!Nyomtatási_terület</vt:lpstr>
      <vt:lpstr>'F12csapat vigasz'!Nyomtatási_terület</vt:lpstr>
      <vt:lpstr>'F14 csapat'!Nyomtatási_terület</vt:lpstr>
      <vt:lpstr>'F14 csapat ELO'!Nyomtatási_terület</vt:lpstr>
      <vt:lpstr>'F16 csapat'!Nyomtatási_terület</vt:lpstr>
      <vt:lpstr>'F16 csapat ELO'!Nyomtatási_terület</vt:lpstr>
      <vt:lpstr>'F18 csapat ELO'!Nyomtatási_terület</vt:lpstr>
      <vt:lpstr>'Fiú 18 csapat'!Nyomtatási_terület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Windows-felhasználó</cp:lastModifiedBy>
  <cp:lastPrinted>2025-06-17T14:24:11Z</cp:lastPrinted>
  <dcterms:created xsi:type="dcterms:W3CDTF">1998-01-18T23:10:02Z</dcterms:created>
  <dcterms:modified xsi:type="dcterms:W3CDTF">2025-09-17T07:22:26Z</dcterms:modified>
  <cp:category>Forms</cp:category>
</cp:coreProperties>
</file>